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b19a3cdd91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7f7f6d735571473c"/>
    <x:sheet xmlns:r="http://schemas.openxmlformats.org/officeDocument/2006/relationships" name="Inputs" sheetId="2" r:id="Ra22233709e634e66"/>
    <x:sheet xmlns:r="http://schemas.openxmlformats.org/officeDocument/2006/relationships" name="Historicals" sheetId="3" r:id="Ref3cbd2b24a446de"/>
    <x:sheet xmlns:r="http://schemas.openxmlformats.org/officeDocument/2006/relationships" name="DCF" sheetId="4" r:id="Re1847bff0b5546cb"/>
    <x:sheet xmlns:r="http://schemas.openxmlformats.org/officeDocument/2006/relationships" name="Sensitivity" sheetId="5" r:id="R4b47831c14cb47a5"/>
    <x:sheet xmlns:r="http://schemas.openxmlformats.org/officeDocument/2006/relationships" name="Sources" sheetId="6" r:id="R9149d119a2254e18"/>
    <x:sheet xmlns:r="http://schemas.openxmlformats.org/officeDocument/2006/relationships" name="Stub Bridge" sheetId="7" r:id="Rbaa494802aa24e5c"/>
    <x:sheet xmlns:r="http://schemas.openxmlformats.org/officeDocument/2006/relationships" name="Convertibles" sheetId="8" r:id="Ra3863bbc22a0467a"/>
    <x:sheet xmlns:r="http://schemas.openxmlformats.org/officeDocument/2006/relationships" name="Reverse DCF" sheetId="9" r:id="R4edca55fa0c8475c"/>
    <x:sheet xmlns:r="http://schemas.openxmlformats.org/officeDocument/2006/relationships" name="Peer Valuation" sheetId="10" r:id="Rcbd3b22e4bbd4fdc"/>
    <x:sheet xmlns:r="http://schemas.openxmlformats.org/officeDocument/2006/relationships" name="Model QA" sheetId="11" r:id="Rd6ac15e8b5a3464b"/>
  </x:sheets>
</x:workbook>
</file>

<file path=xl/sharedStrings.xml><?xml version="1.0" encoding="utf-8"?>
<x:sst xmlns:x="http://schemas.openxmlformats.org/spreadsheetml/2006/main">
  <x:si>
    <x:t xml:space="preserve">Robinhood Markets (NASDAQ: HOOD) — DCF Valuation</x:t>
  </x:si>
  <x:si>
    <x:t xml:space="preserve">Independent portfolio project by Paul Carram. As of October 17, 2026. Educational sample analysis — not investment advice. No position held.</x:t>
  </x:si>
  <x:si>
    <x:t xml:space="preserve">Scenario</x:t>
  </x:si>
  <x:si>
    <x:t xml:space="preserve">Value / share</x:t>
  </x:si>
  <x:si>
    <x:t xml:space="preserve">Upside</x:t>
  </x:si>
  <x:si>
    <x:t xml:space="preserve">Probability</x:t>
  </x:si>
  <x:si>
    <x:t xml:space="preserve">Enterprise value ($mm)</x:t>
  </x:si>
  <x:si>
    <x:t xml:space="preserve">Bear case</x:t>
  </x:si>
  <x:si>
    <x:t xml:space="preserve">Base case</x:t>
  </x:si>
  <x:si>
    <x:t xml:space="preserve">Bull case</x:t>
  </x:si>
  <x:si>
    <x:t xml:space="preserve">Probability-weighted value per share</x:t>
  </x:si>
  <x:si>
    <x:t xml:space="preserve">Current share price (Oct 16, 2026 close)</x:t>
  </x:si>
  <x:si>
    <x:t xml:space="preserve">Implied upside / (downside)</x:t>
  </x:si>
  <x:si>
    <x:t xml:space="preserve">Model rating (±15% band)</x:t>
  </x:si>
  <x:si>
    <x:t xml:space="preserve">WACC</x:t>
  </x:si>
  <x:si>
    <x:t xml:space="preserve">Terminal growth</x:t>
  </x:si>
  <x:si>
    <x:t xml:space="preserve">Base-case terminal value % of EV</x:t>
  </x:si>
  <x:si>
    <x:t xml:space="preserve">Market cap ($mm)</x:t>
  </x:si>
  <x:si>
    <x:t xml:space="preserve">Color key</x:t>
  </x:si>
  <x:si>
    <x:t xml:space="preserve">Hard-coded input</x:t>
  </x:si>
  <x:si>
    <x:t xml:space="preserve">Formula</x:t>
  </x:si>
  <x:si>
    <x:t xml:space="preserve">Link to another sheet</x:t>
  </x:si>
  <x:si>
    <x:t xml:space="preserve">Key assumption / lever</x:t>
  </x:si>
  <x:si>
    <x:t xml:space="preserve">How to use: change blue cells on Inputs (scenario growth, opex %, beta, ERP, terminal growth). Every output recalculates.</x:t>
  </x:si>
  <x:si>
    <x:t xml:space="preserve">Robinhood Markets (NASDAQ: HOOD) — Inputs &amp; Assumptions</x:t>
  </x:si>
  <x:si>
    <x:t xml:space="preserve">$ in millions except per-share data. Blue = hard-coded input; black = formula; green = link to another sheet. Yellow = key lever.</x:t>
  </x:si>
  <x:si>
    <x:t xml:space="preserve">Market data &amp; capital structure</x:t>
  </x:si>
  <x:si>
    <x:t xml:space="preserve">Item</x:t>
  </x:si>
  <x:si>
    <x:t xml:space="preserve">Value</x:t>
  </x:si>
  <x:si>
    <x:t xml:space="preserve">Source / note</x:t>
  </x:si>
  <x:si>
    <x:t xml:space="preserve">Share price (close, Oct 16, 2026)</x:t>
  </x:si>
  <x:si>
    <x:t xml:space="preserve">Morningstar quote page, close Oct 16, 2026</x:t>
  </x:si>
  <x:si>
    <x:t xml:space="preserve">Valuation date</x:t>
  </x:si>
  <x:si>
    <x:t xml:space="preserve">Analysis date</x:t>
  </x:si>
  <x:si>
    <x:t xml:space="preserve">Fiscal year end (FY2026)</x:t>
  </x:si>
  <x:si>
    <x:t xml:space="preserve">Company fiscal year = calendar year</x:t>
  </x:si>
  <x:si>
    <x:t xml:space="preserve">Diluted shares (mm)</x:t>
  </x:si>
  <x:si>
    <x:t xml:space="preserve">Q2 2026 weighted-avg diluted shares, Q2 2026 earnings release (Form 8-K Ex. 99.1)</x:t>
  </x:si>
  <x:si>
    <x:t xml:space="preserve">Cash &amp; cash equivalents (Jun 30, 2026)</x:t>
  </x:si>
  <x:si>
    <x:t xml:space="preserve">Condensed balance sheet, Q2 2026 release. Excludes segregated/customer cash</x:t>
  </x:si>
  <x:si>
    <x:t xml:space="preserve">Debt: 0.00% convertible notes due 2029 (carrying)</x:t>
  </x:si>
  <x:si>
    <x:t xml:space="preserve">Long-term borrowings, Jun 30, 2026; $2.2bn principal, conv. price $174.42 (out of the money)</x:t>
  </x:si>
  <x:si>
    <x:t xml:space="preserve">Market capitalization</x:t>
  </x:si>
  <x:si>
    <x:t xml:space="preserve">Stub fraction of FY2026 remaining</x:t>
  </x:si>
  <x:si>
    <x:t xml:space="preserve">Only Q4 2026 cash flow after the valuation date is counted</x:t>
  </x:si>
  <x:si>
    <x:t xml:space="preserve">Discount rate (WACC)</x:t>
  </x:si>
  <x:si>
    <x:t xml:space="preserve">Risk-free rate (10-yr UST)</x:t>
  </x:si>
  <x:si>
    <x:t xml:space="preserve">10-yr Treasury yield 5.09% on Oct 16, 2026 (Trading Economics)</x:t>
  </x:si>
  <x:si>
    <x:t xml:space="preserve">Equity risk premium</x:t>
  </x:si>
  <x:si>
    <x:t xml:space="preserve">Assumption: implied US ERP range of ~4–5%</x:t>
  </x:si>
  <x:si>
    <x:t xml:space="preserve">Levered beta</x:t>
  </x:si>
  <x:si>
    <x:t xml:space="preserve">Assumption: HOOD's raw beta is well above 2 (high retail/crypto sensitivity); 1.5 blends toward broker/exchange peers as revenue diversifies</x:t>
  </x:si>
  <x:si>
    <x:t xml:space="preserve">Cost of equity (CAPM)</x:t>
  </x:si>
  <x:si>
    <x:t xml:space="preserve">Pre-tax cost of debt</x:t>
  </x:si>
  <x:si>
    <x:t xml:space="preserve">Assumption: straight-debt equivalent for a 0% convertible (coupon understates true cost)</x:t>
  </x:si>
  <x:si>
    <x:t xml:space="preserve">Tax rate (normalized)</x:t>
  </x:si>
  <x:si>
    <x:t xml:space="preserve">Assumption: 21% federal + state; reported 2025 rate was depressed by NOL usage</x:t>
  </x:si>
  <x:si>
    <x:t xml:space="preserve">After-tax cost of debt</x:t>
  </x:si>
  <x:si>
    <x:t xml:space="preserve">Equity weight (market)</x:t>
  </x:si>
  <x:si>
    <x:t xml:space="preserve">Debt weight (market)</x:t>
  </x:si>
  <x:si>
    <x:t xml:space="preserve">Terminal growth rate</x:t>
  </x:si>
  <x:si>
    <x:t xml:space="preserve">Assumption: nominal GDP-plus; reflects continued share gain at maturity</x:t>
  </x:si>
  <x:si>
    <x:t xml:space="preserve">Operating assumptions (all scenarios)</x:t>
  </x:si>
  <x:si>
    <x:t xml:space="preserve">D&amp;A (% of revenue)</x:t>
  </x:si>
  <x:si>
    <x:t xml:space="preserve">FY2025 D&amp;A $86mm = 1.9% of revenue; H1 2026 1.9%</x:t>
  </x:si>
  <x:si>
    <x:t xml:space="preserve">Capex incl. capitalized software (% of revenue)</x:t>
  </x:si>
  <x:si>
    <x:t xml:space="preserve">FY2025 $54mm = 1.2%; H1 2026 $42mm = 1.8%</x:t>
  </x:si>
  <x:si>
    <x:t xml:space="preserve">Other operating investment (% of revenue growth)</x:t>
  </x:si>
  <x:si>
    <x:t xml:space="preserve">Proxy for customer match incentives &amp; working capital; customer balances are pass-through and excluded</x:t>
  </x:si>
  <x:si>
    <x:t xml:space="preserve">Scenario assumptions — annual growth by revenue line and GAAP opex % of revenue</x:t>
  </x:si>
  <x:si>
    <x:t xml:space="preserve">GAAP opex includes SBC and provision for credit losses (SBC treated as a real cost — not added back).</x:t>
  </x:si>
  <x:si>
    <x:t xml:space="preserve">2026E</x:t>
  </x:si>
  <x:si>
    <x:t xml:space="preserve">2027E</x:t>
  </x:si>
  <x:si>
    <x:t xml:space="preserve">2028E</x:t>
  </x:si>
  <x:si>
    <x:t xml:space="preserve">2029E</x:t>
  </x:si>
  <x:si>
    <x:t xml:space="preserve">2030E</x:t>
  </x:si>
  <x:si>
    <x:t xml:space="preserve">2031E</x:t>
  </x:si>
  <x:si>
    <x:t xml:space="preserve">2032E</x:t>
  </x:si>
  <x:si>
    <x:t xml:space="preserve">2033E</x:t>
  </x:si>
  <x:si>
    <x:t xml:space="preserve">Retail activity normalizes, crypto stays weak, rate cuts compress NII, prediction markets restricted</x:t>
  </x:si>
  <x:si>
    <x:t xml:space="preserve">Transaction-based revenue growth</x:t>
  </x:si>
  <x:si>
    <x:t xml:space="preserve">Net interest revenue growth</x:t>
  </x:si>
  <x:si>
    <x:t xml:space="preserve">Other revenue growth (Gold, Card, Trump Accts, advisory)</x:t>
  </x:si>
  <x:si>
    <x:t xml:space="preserve">GAAP opex as % of revenue</x:t>
  </x:si>
  <x:si>
    <x:t xml:space="preserve">Share gains continue but fade; margin book drives NII; Gold/Card/Trump Accounts scale</x:t>
  </x:si>
  <x:si>
    <x:t xml:space="preserve">'Financial SuperApp' works: international, banking, advisory, tokenization all scale</x:t>
  </x:si>
  <x:si>
    <x:t xml:space="preserve">FY2026E reflects H1 2026 actuals (revenue +24% y/y) and Q3/Q4 2025 comps; 2026 opex anchored to guidance of $2.675–2.775bn adj. opex + SBC plus credit losses and one-offs.</x:t>
  </x:si>
  <x:si>
    <x:t xml:space="preserve">Scenario probability weights</x:t>
  </x:si>
  <x:si>
    <x:t xml:space="preserve">Bear probability</x:t>
  </x:si>
  <x:si>
    <x:t xml:space="preserve">Base probability</x:t>
  </x:si>
  <x:si>
    <x:t xml:space="preserve">Bull probability</x:t>
  </x:si>
  <x:si>
    <x:t xml:space="preserve">Check: weights sum to 100%</x:t>
  </x:si>
  <x:si>
    <x:t xml:space="preserve">Historical Financials (GAAP, $mm)</x:t>
  </x:si>
  <x:si>
    <x:t xml:space="preserve">LTM Jun-26 = FY2025 + H1 2026 − H1 2025. Figures from company earnings releases (Form 8-K Ex. 99.1).</x:t>
  </x:si>
  <x:si>
    <x:t xml:space="preserve">FY2024</x:t>
  </x:si>
  <x:si>
    <x:t xml:space="preserve">FY2025</x:t>
  </x:si>
  <x:si>
    <x:t xml:space="preserve">H1 2025</x:t>
  </x:si>
  <x:si>
    <x:t xml:space="preserve">H1 2026</x:t>
  </x:si>
  <x:si>
    <x:t xml:space="preserve">LTM Jun-26</x:t>
  </x:si>
  <x:si>
    <x:t xml:space="preserve">Transaction-based revenues</x:t>
  </x:si>
  <x:si>
    <x:t xml:space="preserve">Net interest revenues</x:t>
  </x:si>
  <x:si>
    <x:t xml:space="preserve">Other revenues</x:t>
  </x:si>
  <x:si>
    <x:t xml:space="preserve">Total net revenues</x:t>
  </x:si>
  <x:si>
    <x:t xml:space="preserve">  Growth y/y</x:t>
  </x:si>
  <x:si>
    <x:t xml:space="preserve">Brokerage and transaction</x:t>
  </x:si>
  <x:si>
    <x:t xml:space="preserve">Technology and development</x:t>
  </x:si>
  <x:si>
    <x:t xml:space="preserve">Operations</x:t>
  </x:si>
  <x:si>
    <x:t xml:space="preserve">Provision for credit losses</x:t>
  </x:si>
  <x:si>
    <x:t xml:space="preserve">Marketing</x:t>
  </x:si>
  <x:si>
    <x:t xml:space="preserve">General and administrative</x:t>
  </x:si>
  <x:si>
    <x:t xml:space="preserve">Total operating expenses</x:t>
  </x:si>
  <x:si>
    <x:t xml:space="preserve">  Opex % of revenue</x:t>
  </x:si>
  <x:si>
    <x:t xml:space="preserve">Operating income (EBIT)</x:t>
  </x:si>
  <x:si>
    <x:t xml:space="preserve">  EBIT margin</x:t>
  </x:si>
  <x:si>
    <x:t xml:space="preserve">Other income, net</x:t>
  </x:si>
  <x:si>
    <x:t xml:space="preserve">Income before taxes</x:t>
  </x:si>
  <x:si>
    <x:t xml:space="preserve">Provision for (benefit from) income taxes</x:t>
  </x:si>
  <x:si>
    <x:t xml:space="preserve">Net income</x:t>
  </x:si>
  <x:si>
    <x:t xml:space="preserve">Memo: share-based compensation</x:t>
  </x:si>
  <x:si>
    <x:t xml:space="preserve">Memo: depreciation &amp; amortization</x:t>
  </x:si>
  <x:si>
    <x:t xml:space="preserve">Memo: capex + capitalized software</x:t>
  </x:si>
  <x:si>
    <x:t xml:space="preserve">Memo: Adjusted EBITDA (company non-GAAP)</x:t>
  </x:si>
  <x:si>
    <x:t xml:space="preserve">  Adj. EBITDA margin</x:t>
  </x:si>
  <x:si>
    <x:t xml:space="preserve">Check: net income vs. reported (FY24 $1,411 / FY25 $1,883 / H1'25 $722 / H1'26 $919)</x:t>
  </x:si>
  <x:si>
    <x:t xml:space="preserve">Key operating metrics (company-reported)</x:t>
  </x:si>
  <x:si>
    <x:t xml:space="preserve">Metric</x:t>
  </x:si>
  <x:si>
    <x:t xml:space="preserve">Q4 2025</x:t>
  </x:si>
  <x:si>
    <x:t xml:space="preserve">Q2 2026</x:t>
  </x:si>
  <x:si>
    <x:t xml:space="preserve">Funded customers (mm)</x:t>
  </x:si>
  <x:si>
    <x:t xml:space="preserve">Robinhood Gold subscribers (mm)</x:t>
  </x:si>
  <x:si>
    <x:t xml:space="preserve">Total Platform Assets ($bn)</x:t>
  </x:si>
  <x:si>
    <x:t xml:space="preserve">Quarterly net deposits ($bn)</x:t>
  </x:si>
  <x:si>
    <x:t xml:space="preserve">ARPU (annualized, $)</x:t>
  </x:si>
  <x:si>
    <x:t xml:space="preserve">Margin book ($bn)</x:t>
  </x:si>
  <x:si>
    <x:t xml:space="preserve">Post-quarter: net deposits $5.6bn (Jul-26) and $4.0bn (Aug-26), i.e. 18% and 14% annualized vs. 28% in Q2 — monthly operating data releases.</x:t>
  </x:si>
  <x:si>
    <x:t xml:space="preserve">Discounted Cash Flow — Unlevered Free Cash Flow ($mm)</x:t>
  </x:si>
  <x:si>
    <x:t xml:space="preserve">Mid-period discounting from the valuation date. FY2026E counts only the post-valuation-date stub. Terminal value by Gordon growth at end of FY2033.</x:t>
  </x:si>
  <x:si>
    <x:t xml:space="preserve">BASE CASE</x:t>
  </x:si>
  <x:si>
    <x:t xml:space="preserve">FY2025A</x:t>
  </x:si>
  <x:si>
    <x:t xml:space="preserve">Base valuation</x:t>
  </x:si>
  <x:si>
    <x:t xml:space="preserve">Sum of PV of FCF</x:t>
  </x:si>
  <x:si>
    <x:t xml:space="preserve">Terminal-year FCF (FY2033E)</x:t>
  </x:si>
  <x:si>
    <x:t xml:space="preserve">Terminal value (end FY2033)</x:t>
  </x:si>
  <x:si>
    <x:t xml:space="preserve">PV of terminal value</x:t>
  </x:si>
  <x:si>
    <x:t xml:space="preserve">Enterprise value</x:t>
  </x:si>
  <x:si>
    <x:t xml:space="preserve">GAAP operating expenses</x:t>
  </x:si>
  <x:si>
    <x:t xml:space="preserve">(+) Cash</x:t>
  </x:si>
  <x:si>
    <x:t xml:space="preserve">EBIT</x:t>
  </x:si>
  <x:si>
    <x:t xml:space="preserve">(−) Convertible notes</x:t>
  </x:si>
  <x:si>
    <x:t xml:space="preserve">Equity value</x:t>
  </x:si>
  <x:si>
    <x:t xml:space="preserve">Taxes on EBIT</x:t>
  </x:si>
  <x:si>
    <x:t xml:space="preserve">NOPAT</x:t>
  </x:si>
  <x:si>
    <x:t xml:space="preserve">Implied value per share</x:t>
  </x:si>
  <x:si>
    <x:t xml:space="preserve">(+) D&amp;A</x:t>
  </x:si>
  <x:si>
    <x:t xml:space="preserve">Current share price</x:t>
  </x:si>
  <x:si>
    <x:t xml:space="preserve">(−) Capex</x:t>
  </x:si>
  <x:si>
    <x:t xml:space="preserve">Upside / (downside)</x:t>
  </x:si>
  <x:si>
    <x:t xml:space="preserve">(−) Other operating investment</x:t>
  </x:si>
  <x:si>
    <x:t xml:space="preserve">Terminal value % of EV</x:t>
  </x:si>
  <x:si>
    <x:t xml:space="preserve">Unlevered free cash flow</x:t>
  </x:si>
  <x:si>
    <x:t xml:space="preserve">Implied terminal EV / NTM EBITDA</x:t>
  </x:si>
  <x:si>
    <x:t xml:space="preserve">  FCF margin</x:t>
  </x:si>
  <x:si>
    <x:t xml:space="preserve">Implied EV / FY2027E EBIT (today)</x:t>
  </x:si>
  <x:si>
    <x:t xml:space="preserve">Fraction of year counted</x:t>
  </x:si>
  <x:si>
    <x:t xml:space="preserve">Market EV / FY2027E EBIT (today)</x:t>
  </x:si>
  <x:si>
    <x:t xml:space="preserve">Discount period (years)</x:t>
  </x:si>
  <x:si>
    <x:t xml:space="preserve">Discount factor</x:t>
  </x:si>
  <x:si>
    <x:t xml:space="preserve">PV of FCF</x:t>
  </x:si>
  <x:si>
    <x:t xml:space="preserve">BEAR CASE</x:t>
  </x:si>
  <x:si>
    <x:t xml:space="preserve">Bear valuation</x:t>
  </x:si>
  <x:si>
    <x:t xml:space="preserve">BULL CASE</x:t>
  </x:si>
  <x:si>
    <x:t xml:space="preserve">Bull valuation</x:t>
  </x:si>
  <x:si>
    <x:t xml:space="preserve">Sensitivity — Base Case Implied Value per Share</x:t>
  </x:si>
  <x:si>
    <x:t xml:space="preserve">Each cell re-values the base-case cash flows at a different WACC / terminal growth rate. Shaded cell = model inputs.</x:t>
  </x:si>
  <x:si>
    <x:t xml:space="preserve">WACC ↓  /  Terminal growth →</x:t>
  </x:si>
  <x:si>
    <x:t xml:space="preserve">Reading the grid: no WACC / growth pair here reaches the current price. The gap is about growth expectations, not just the discount rate.</x:t>
  </x:si>
  <x:si>
    <x:t xml:space="preserve">Sources</x:t>
  </x:si>
  <x:si>
    <x:t xml:space="preserve">#</x:t>
  </x:si>
  <x:si>
    <x:t xml:space="preserve">Document</x:t>
  </x:si>
  <x:si>
    <x:t xml:space="preserve">URL</x:t>
  </x:si>
  <x:si>
    <x:t xml:space="preserve">Robinhood Q2 2026 results (Form 8-K Ex. 99.1), Jul 29, 2026</x:t>
  </x:si>
  <x:si>
    <x:t xml:space="preserve">https://www.sec.gov/Archives/edgar/data/0001783879/000178387926000113/q22026robinhoodexhibit991.htm</x:t>
  </x:si>
  <x:si>
    <x:t xml:space="preserve">Robinhood Q4 &amp; FY2025 results, Feb 10, 2026</x:t>
  </x:si>
  <x:si>
    <x:t xml:space="preserve">https://investors.robinhood.com/news-releases/news-release-details/robinhood-reports-fourth-quarter-and-full-year-2025-results</x:t>
  </x:si>
  <x:si>
    <x:t xml:space="preserve">Robinhood Form 10-Q, quarter ended Jun 30, 2026 (convertible notes)</x:t>
  </x:si>
  <x:si>
    <x:t xml:space="preserve">https://www.sec.gov/Archives/edgar/data/0001783879/000178387926000114/hood-20260630.htm</x:t>
  </x:si>
  <x:si>
    <x:t xml:space="preserve">Robinhood 8-K, convertible notes indenture, Jun 25, 2026</x:t>
  </x:si>
  <x:si>
    <x:t xml:space="preserve">https://www.sec.gov/Archives/edgar/data/0001783879/000178387926000077/hood-20260622.htm</x:t>
  </x:si>
  <x:si>
    <x:t xml:space="preserve">Robinhood July 2026 operating data</x:t>
  </x:si>
  <x:si>
    <x:t xml:space="preserve">https://investors.robinhood.com/news-releases/news-release-details/robinhood-markets-inc-reports-july-2026-operating-data</x:t>
  </x:si>
  <x:si>
    <x:t xml:space="preserve">Robinhood August 2026 operating data</x:t>
  </x:si>
  <x:si>
    <x:t xml:space="preserve">https://investors.robinhood.com/news-releases/news-release-details/robinhood-markets-inc-reports-august-2026-operating-data</x:t>
  </x:si>
  <x:si>
    <x:t xml:space="preserve">HOOD quote, Oct 16, 2026 close (Morningstar)</x:t>
  </x:si>
  <x:si>
    <x:t xml:space="preserve">https://www.morningstar.com/stocks/xnas/hood/quote</x:t>
  </x:si>
  <x:si>
    <x:t xml:space="preserve">US 10-year Treasury yield, Oct 16, 2026 (Trading Economics)</x:t>
  </x:si>
  <x:si>
    <x:t xml:space="preserve">https://tradingeconomics.com/united-states/government-bond-yield</x:t>
  </x:si>
  <x:si>
    <x:t xml:space="preserve">Disclaimer: Independent educational analysis. Not a recommendation to buy or sell any security. The author holds no position in HOOD. Projections are the author's assumptions and will differ from actual results.</x:t>
  </x:si>
</x:sst>
</file>

<file path=xl/styles.xml><?xml version="1.0" encoding="utf-8"?>
<x:styleSheet xmlns:x="http://schemas.openxmlformats.org/spreadsheetml/2006/main">
  <x:numFmts count="12">
    <x:numFmt numFmtId="164" formatCode="General"/>
    <x:numFmt numFmtId="165" formatCode="\$#,##0.00;&quot;($&quot;#,##0.00\);\-"/>
    <x:numFmt numFmtId="166" formatCode="0.0%;\(0.0%\);\-"/>
    <x:numFmt numFmtId="167" formatCode="\$#,##0;&quot;($&quot;#,##0\);\-"/>
    <x:numFmt numFmtId="168" formatCode="mmm\ d&quot;, &quot;yyyy"/>
    <x:numFmt numFmtId="169" formatCode="#,##0;\(#,##0\);\-"/>
    <x:numFmt numFmtId="170" formatCode="0.00"/>
    <x:numFmt numFmtId="171" formatCode="#,##0.0;\(#,##0.0\);\-"/>
    <x:numFmt numFmtId="172" formatCode="\$#,##0.0"/>
    <x:numFmt numFmtId="173" formatCode="0.0\x"/>
    <x:numFmt numFmtId="174" formatCode="0.000"/>
    <x:numFmt numFmtId="200" formatCode="0.0%"/>
  </x:numFmts>
  <x:fonts count="17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1F4788"/>
      <x:name val="Arial"/>
    </x:font>
    <x:font>
      <x:i/>
      <x:sz val="10"/>
      <x:color rgb="FF44546A"/>
      <x:name val="Arial"/>
    </x:font>
    <x:font>
      <x:b/>
      <x:sz val="10"/>
      <x:color rgb="FFFFFFFF"/>
      <x:name val="Arial"/>
    </x:font>
    <x:font>
      <x:sz val="10"/>
      <x:color rgb="FF000000"/>
      <x:name val="Arial"/>
    </x:font>
    <x:font>
      <x:sz val="10"/>
      <x:color rgb="FF008000"/>
      <x:name val="Arial"/>
    </x:font>
    <x:font>
      <x:b/>
      <x:sz val="10"/>
      <x:color rgb="FF000000"/>
      <x:name val="Arial"/>
    </x:font>
    <x:font>
      <x:b/>
      <x:sz val="10"/>
      <x:name val="Arial"/>
    </x:font>
    <x:font>
      <x:b/>
      <x:sz val="11"/>
      <x:color rgb="FF1F4788"/>
      <x:name val="Arial"/>
    </x:font>
    <x:font>
      <x:sz val="10"/>
      <x:color rgb="FF0000FF"/>
      <x:name val="Arial"/>
    </x:font>
    <x:font>
      <x:b/>
      <x:sz val="10"/>
      <x:color rgb="FF0000FF"/>
      <x:name val="Arial"/>
    </x:font>
    <x:font>
      <x:b/>
      <x:sz val="10"/>
      <x:color rgb="FF008000"/>
      <x:name val="Arial"/>
    </x:font>
    <x:font>
      <x:sz val="11"/>
      <x:color rgb="FFFFFFFF"/>
      <x:name val="Calibri"/>
    </x:font>
    <x:font>
      <x:b/>
      <x:sz val="11"/>
      <x:color rgb="FFFFFFFF"/>
      <x:name val="Calibri"/>
    </x:font>
  </x:fonts>
  <x:fills count="6">
    <x:fill>
      <x:patternFill patternType="none"/>
    </x:fill>
    <x:fill>
      <x:patternFill patternType="gray125"/>
    </x:fill>
    <x:fill>
      <x:patternFill patternType="solid">
        <x:fgColor rgb="FF1F4788"/>
      </x:patternFill>
    </x:fill>
    <x:fill>
      <x:patternFill patternType="solid">
        <x:fgColor rgb="FFE9EEF6"/>
      </x:patternFill>
    </x:fill>
    <x:fill>
      <x:patternFill patternType="solid">
        <x:fgColor rgb="FFFFFF00"/>
      </x:patternFill>
    </x:fill>
    <x:fill>
      <x:patternFill patternType="solid">
        <x:fgColor rgb="FF10203C"/>
      </x:patternFill>
    </x:fill>
  </x:fills>
  <x:borders count="4">
    <x:border diagonalUp="0" diagonalDown="0"/>
    <x:border diagonalUp="0" diagonalDown="0">
      <x:top style="thin">
        <x:color rgb="FFA6A6A6"/>
      </x:top>
    </x:border>
    <x:border diagonalUp="0" diagonalDown="0"/>
    <x:border diagonalUp="0" diagonalDown="0">
      <x:top style="thin">
        <x:color rgb="FFA6A6A6"/>
      </x:top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96">
    <x:xf numFmtId="164" fontId="0" fillId="0" borderId="0" xfId="0" applyFont="0" applyBorder="0" applyAlignment="0">
      <x:alignment horizontal="general" vertical="bottom" wrapText="0"/>
    </x:xf>
    <x:xf numFmtId="164" fontId="4" fillId="0" borderId="0" xfId="0" applyFont="1" applyBorder="0" applyAlignment="0">
      <x:alignment horizontal="general" vertical="bottom" wrapText="0"/>
    </x:xf>
    <x:xf numFmtId="164" fontId="5" fillId="0" borderId="0" xfId="0" applyFont="1" applyBorder="0" applyAlignment="0">
      <x:alignment horizontal="general" vertical="bottom" wrapText="0"/>
    </x:xf>
    <x:xf numFmtId="164" fontId="6" fillId="2" borderId="0" xfId="0" applyFont="1" applyBorder="0" applyAlignment="1">
      <x:alignment horizontal="left" vertical="bottom" wrapText="0"/>
    </x:xf>
    <x:xf numFmtId="164" fontId="6" fillId="2" borderId="0" xfId="0" applyFont="1" applyBorder="0" applyAlignment="1">
      <x:alignment horizontal="center" vertical="bottom" wrapText="0"/>
    </x:xf>
    <x:xf numFmtId="164" fontId="7" fillId="0" borderId="0" xfId="0" applyFont="1" applyBorder="0" applyAlignment="0">
      <x:alignment horizontal="general" vertical="bottom" wrapText="0"/>
    </x:xf>
    <x:xf numFmtId="165" fontId="8" fillId="0" borderId="0" xfId="0" applyFont="1" applyBorder="0" applyAlignment="0">
      <x:alignment horizontal="general" vertical="bottom" wrapText="0"/>
    </x:xf>
    <x:xf numFmtId="166" fontId="8" fillId="0" borderId="0" xfId="0" applyFont="1" applyBorder="0" applyAlignment="0">
      <x:alignment horizontal="general" vertical="bottom" wrapText="0"/>
    </x:xf>
    <x:xf numFmtId="167" fontId="8" fillId="0" borderId="0" xfId="0" applyFont="1" applyBorder="0" applyAlignment="0">
      <x:alignment horizontal="general" vertical="bottom" wrapText="0"/>
    </x:xf>
    <x:xf numFmtId="164" fontId="9" fillId="0" borderId="0" xfId="0" applyFont="1" applyBorder="0" applyAlignment="0">
      <x:alignment horizontal="general" vertical="bottom" wrapText="0"/>
    </x:xf>
    <x:xf numFmtId="164" fontId="10" fillId="0" borderId="0" xfId="0" applyFont="1" applyBorder="0" applyAlignment="0">
      <x:alignment horizontal="general" vertical="bottom" wrapText="0"/>
    </x:xf>
    <x:xf numFmtId="165" fontId="9" fillId="3" borderId="0" xfId="0" applyFont="1" applyBorder="0" applyAlignment="0">
      <x:alignment horizontal="general" vertical="bottom" wrapText="0"/>
    </x:xf>
    <x:xf numFmtId="166" fontId="9" fillId="0" borderId="0" xfId="0" applyFont="1" applyBorder="0" applyAlignment="0">
      <x:alignment horizontal="general" vertical="bottom" wrapText="0"/>
    </x:xf>
    <x:xf numFmtId="164" fontId="11" fillId="0" borderId="0" xfId="0" applyFont="1" applyBorder="0" applyAlignment="0">
      <x:alignment horizontal="general" vertical="bottom" wrapText="0"/>
    </x:xf>
    <x:xf numFmtId="164" fontId="12" fillId="0" borderId="0" xfId="0" applyFont="1" applyBorder="0" applyAlignment="0">
      <x:alignment horizontal="general" vertical="bottom" wrapText="0"/>
    </x:xf>
    <x:xf numFmtId="164" fontId="8" fillId="0" borderId="0" xfId="0" applyFont="1" applyBorder="0" applyAlignment="0">
      <x:alignment horizontal="general" vertical="bottom" wrapText="0"/>
    </x:xf>
    <x:xf numFmtId="164" fontId="7" fillId="4" borderId="0" xfId="0" applyFont="1" applyBorder="0" applyAlignment="0">
      <x:alignment horizontal="general" vertical="bottom" wrapText="0"/>
    </x:xf>
    <x:xf numFmtId="165" fontId="12" fillId="0" borderId="0" xfId="0" applyFont="1" applyBorder="0" applyAlignment="0">
      <x:alignment horizontal="general" vertical="bottom" wrapText="0"/>
    </x:xf>
    <x:xf numFmtId="168" fontId="7" fillId="0" borderId="0" xfId="0" applyFont="1" applyBorder="0" applyAlignment="0">
      <x:alignment horizontal="general" vertical="bottom" wrapText="0"/>
    </x:xf>
    <x:xf numFmtId="169" fontId="12" fillId="0" borderId="0" xfId="0" applyFont="1" applyBorder="0" applyAlignment="0">
      <x:alignment horizontal="general" vertical="bottom" wrapText="0"/>
    </x:xf>
    <x:xf numFmtId="167" fontId="12" fillId="0" borderId="0" xfId="0" applyFont="1" applyBorder="0" applyAlignment="0">
      <x:alignment horizontal="general" vertical="bottom" wrapText="0"/>
    </x:xf>
    <x:xf numFmtId="167" fontId="7" fillId="0" borderId="0" xfId="0" applyFont="1" applyBorder="0" applyAlignment="0">
      <x:alignment horizontal="general" vertical="bottom" wrapText="0"/>
    </x:xf>
    <x:xf numFmtId="170" fontId="7" fillId="0" borderId="0" xfId="0" applyFont="1" applyBorder="0" applyAlignment="0">
      <x:alignment horizontal="general" vertical="bottom" wrapText="0"/>
    </x:xf>
    <x:xf numFmtId="166" fontId="12" fillId="0" borderId="0" xfId="0" applyFont="1" applyBorder="0" applyAlignment="0">
      <x:alignment horizontal="general" vertical="bottom" wrapText="0"/>
    </x:xf>
    <x:xf numFmtId="166" fontId="12" fillId="4" borderId="0" xfId="0" applyFont="1" applyBorder="0" applyAlignment="0">
      <x:alignment horizontal="general" vertical="bottom" wrapText="0"/>
    </x:xf>
    <x:xf numFmtId="170" fontId="12" fillId="4" borderId="0" xfId="0" applyFont="1" applyBorder="0" applyAlignment="0">
      <x:alignment horizontal="general" vertical="bottom" wrapText="0"/>
    </x:xf>
    <x:xf numFmtId="166" fontId="7" fillId="0" borderId="0" xfId="0" applyFont="1" applyBorder="0" applyAlignment="0">
      <x:alignment horizontal="general" vertical="bottom" wrapText="0"/>
    </x:xf>
    <x:xf numFmtId="167" fontId="9" fillId="0" borderId="0" xfId="0" applyFont="1" applyBorder="0" applyAlignment="0">
      <x:alignment horizontal="general" vertical="bottom" wrapText="0"/>
    </x:xf>
    <x:xf numFmtId="171" fontId="12" fillId="0" borderId="0" xfId="0" applyFont="1" applyBorder="0" applyAlignment="0">
      <x:alignment horizontal="general" vertical="bottom" wrapText="0"/>
    </x:xf>
    <x:xf numFmtId="172" fontId="12" fillId="0" borderId="0" xfId="0" applyFont="1" applyBorder="0" applyAlignment="0">
      <x:alignment horizontal="general" vertical="bottom" wrapText="0"/>
    </x:xf>
    <x:xf numFmtId="164" fontId="6" fillId="2" borderId="0" xfId="0" applyFont="1" applyBorder="0" applyAlignment="0">
      <x:alignment horizontal="general" vertical="bottom" wrapText="0"/>
    </x:xf>
    <x:xf numFmtId="164" fontId="0" fillId="2" borderId="0" xfId="0" applyFont="0" applyBorder="0" applyAlignment="0">
      <x:alignment horizontal="general" vertical="bottom" wrapText="0"/>
    </x:xf>
    <x:xf numFmtId="164" fontId="9" fillId="0" borderId="1" xfId="0" applyFont="1" applyBorder="1" applyAlignment="0">
      <x:alignment horizontal="general" vertical="bottom" wrapText="0"/>
    </x:xf>
    <x:xf numFmtId="167" fontId="9" fillId="0" borderId="1" xfId="0" applyFont="1" applyBorder="1" applyAlignment="0">
      <x:alignment horizontal="general" vertical="bottom" wrapText="0"/>
    </x:xf>
    <x:xf numFmtId="169" fontId="8" fillId="0" borderId="0" xfId="0" applyFont="1" applyBorder="0" applyAlignment="0">
      <x:alignment horizontal="general" vertical="bottom" wrapText="0"/>
    </x:xf>
    <x:xf numFmtId="164" fontId="0" fillId="0" borderId="1" xfId="0" applyFont="0" applyBorder="1" applyAlignment="0">
      <x:alignment horizontal="general" vertical="bottom" wrapText="0"/>
    </x:xf>
    <x:xf numFmtId="173" fontId="7" fillId="0" borderId="0" xfId="0" applyFont="1" applyBorder="0" applyAlignment="0">
      <x:alignment horizontal="general" vertical="bottom" wrapText="0"/>
    </x:xf>
    <x:xf numFmtId="170" fontId="12" fillId="0" borderId="0" xfId="0" applyFont="1" applyBorder="0" applyAlignment="0">
      <x:alignment horizontal="general" vertical="bottom" wrapText="0"/>
    </x:xf>
    <x:xf numFmtId="174" fontId="7" fillId="0" borderId="0" xfId="0" applyFont="1" applyBorder="0" applyAlignment="0">
      <x:alignment horizontal="general" vertical="bottom" wrapText="0"/>
    </x:xf>
    <x:xf numFmtId="166" fontId="13" fillId="3" borderId="0" xfId="0" applyFont="1" applyBorder="0" applyAlignment="1">
      <x:alignment horizontal="center" vertical="bottom" wrapText="0"/>
    </x:xf>
    <x:xf numFmtId="166" fontId="13" fillId="3" borderId="0" xfId="0" applyFont="1" applyBorder="0" applyAlignment="0">
      <x:alignment horizontal="general" vertical="bottom" wrapText="0"/>
    </x:xf>
    <x:xf numFmtId="165" fontId="7" fillId="0" borderId="0" xfId="0" applyFont="1" applyBorder="0" applyAlignment="0">
      <x:alignment horizontal="general" vertical="bottom" wrapText="0"/>
    </x:xf>
    <x:xf numFmtId="166" fontId="14" fillId="3" borderId="0" xfId="0" applyFont="1" applyBorder="0" applyAlignment="0">
      <x:alignment horizontal="general" vertical="bottom" wrapText="0"/>
    </x:xf>
    <x:xf numFmtId="165" fontId="7" fillId="4" borderId="0" xfId="0" applyFont="1" applyBorder="0" applyAlignment="0">
      <x:alignment horizontal="general" vertical="bottom" wrapText="0"/>
    </x:xf>
    <x:xf numFmtId="164" fontId="0" fillId="0" borderId="2" xfId="0" applyNumberFormat="1" applyFont="1" applyFill="1" applyBorder="1" applyAlignment="1">
      <x:alignment horizontal="general" vertical="bottom" wrapText="0"/>
    </x:xf>
    <x:xf numFmtId="164" fontId="4" fillId="0" borderId="2" xfId="0" applyNumberFormat="1" applyFont="1" applyFill="1" applyBorder="1" applyAlignment="1">
      <x:alignment horizontal="general" vertical="bottom" wrapText="0"/>
    </x:xf>
    <x:xf numFmtId="164" fontId="5" fillId="0" borderId="2" xfId="0" applyNumberFormat="1" applyFont="1" applyFill="1" applyBorder="1" applyAlignment="1">
      <x:alignment horizontal="general" vertical="bottom" wrapText="0"/>
    </x:xf>
    <x:xf numFmtId="164" fontId="6" fillId="2" borderId="2" xfId="0" applyNumberFormat="1" applyFont="1" applyFill="1" applyBorder="1" applyAlignment="1">
      <x:alignment horizontal="left" vertical="bottom" wrapText="0"/>
    </x:xf>
    <x:xf numFmtId="164" fontId="6" fillId="2" borderId="2" xfId="0" applyNumberFormat="1" applyFont="1" applyFill="1" applyBorder="1" applyAlignment="1">
      <x:alignment horizontal="center" vertical="bottom" wrapText="0"/>
    </x:xf>
    <x:xf numFmtId="164" fontId="7" fillId="0" borderId="2" xfId="0" applyNumberFormat="1" applyFont="1" applyFill="1" applyBorder="1" applyAlignment="1">
      <x:alignment horizontal="general" vertical="bottom" wrapText="0"/>
    </x:xf>
    <x:xf numFmtId="165" fontId="8" fillId="0" borderId="2" xfId="0" applyNumberFormat="1" applyFont="1" applyFill="1" applyBorder="1" applyAlignment="1">
      <x:alignment horizontal="general" vertical="bottom" wrapText="0"/>
    </x:xf>
    <x:xf numFmtId="166" fontId="8" fillId="0" borderId="2" xfId="0" applyNumberFormat="1" applyFont="1" applyFill="1" applyBorder="1" applyAlignment="1">
      <x:alignment horizontal="general" vertical="bottom" wrapText="0"/>
    </x:xf>
    <x:xf numFmtId="167" fontId="8" fillId="0" borderId="2" xfId="0" applyNumberFormat="1" applyFont="1" applyFill="1" applyBorder="1" applyAlignment="1">
      <x:alignment horizontal="general" vertical="bottom" wrapText="0"/>
    </x:xf>
    <x:xf numFmtId="164" fontId="9" fillId="0" borderId="2" xfId="0" applyNumberFormat="1" applyFont="1" applyFill="1" applyBorder="1" applyAlignment="1">
      <x:alignment horizontal="general" vertical="bottom" wrapText="0"/>
    </x:xf>
    <x:xf numFmtId="164" fontId="10" fillId="0" borderId="2" xfId="0" applyNumberFormat="1" applyFont="1" applyFill="1" applyBorder="1" applyAlignment="1">
      <x:alignment horizontal="general" vertical="bottom" wrapText="0"/>
    </x:xf>
    <x:xf numFmtId="165" fontId="9" fillId="3" borderId="2" xfId="0" applyNumberFormat="1" applyFont="1" applyFill="1" applyBorder="1" applyAlignment="1">
      <x:alignment horizontal="general" vertical="bottom" wrapText="0"/>
    </x:xf>
    <x:xf numFmtId="166" fontId="9" fillId="0" borderId="2" xfId="0" applyNumberFormat="1" applyFont="1" applyFill="1" applyBorder="1" applyAlignment="1">
      <x:alignment horizontal="general" vertical="bottom" wrapText="0"/>
    </x:xf>
    <x:xf numFmtId="164" fontId="11" fillId="0" borderId="2" xfId="0" applyNumberFormat="1" applyFont="1" applyFill="1" applyBorder="1" applyAlignment="1">
      <x:alignment horizontal="general" vertical="bottom" wrapText="0"/>
    </x:xf>
    <x:xf numFmtId="164" fontId="12" fillId="0" borderId="2" xfId="0" applyNumberFormat="1" applyFont="1" applyFill="1" applyBorder="1" applyAlignment="1">
      <x:alignment horizontal="general" vertical="bottom" wrapText="0"/>
    </x:xf>
    <x:xf numFmtId="164" fontId="8" fillId="0" borderId="2" xfId="0" applyNumberFormat="1" applyFont="1" applyFill="1" applyBorder="1" applyAlignment="1">
      <x:alignment horizontal="general" vertical="bottom" wrapText="0"/>
    </x:xf>
    <x:xf numFmtId="164" fontId="7" fillId="4" borderId="2" xfId="0" applyNumberFormat="1" applyFont="1" applyFill="1" applyBorder="1" applyAlignment="1">
      <x:alignment horizontal="general" vertical="bottom" wrapText="0"/>
    </x:xf>
    <x:xf numFmtId="165" fontId="12" fillId="0" borderId="2" xfId="0" applyNumberFormat="1" applyFont="1" applyFill="1" applyBorder="1" applyAlignment="1">
      <x:alignment horizontal="general" vertical="bottom" wrapText="0"/>
    </x:xf>
    <x:xf numFmtId="168" fontId="7" fillId="0" borderId="2" xfId="0" applyNumberFormat="1" applyFont="1" applyFill="1" applyBorder="1" applyAlignment="1">
      <x:alignment horizontal="general" vertical="bottom" wrapText="0"/>
    </x:xf>
    <x:xf numFmtId="169" fontId="12" fillId="0" borderId="2" xfId="0" applyNumberFormat="1" applyFont="1" applyFill="1" applyBorder="1" applyAlignment="1">
      <x:alignment horizontal="general" vertical="bottom" wrapText="0"/>
    </x:xf>
    <x:xf numFmtId="167" fontId="12" fillId="0" borderId="2" xfId="0" applyNumberFormat="1" applyFont="1" applyFill="1" applyBorder="1" applyAlignment="1">
      <x:alignment horizontal="general" vertical="bottom" wrapText="0"/>
    </x:xf>
    <x:xf numFmtId="167" fontId="7" fillId="0" borderId="2" xfId="0" applyNumberFormat="1" applyFont="1" applyFill="1" applyBorder="1" applyAlignment="1">
      <x:alignment horizontal="general" vertical="bottom" wrapText="0"/>
    </x:xf>
    <x:xf numFmtId="170" fontId="7" fillId="0" borderId="2" xfId="0" applyNumberFormat="1" applyFont="1" applyFill="1" applyBorder="1" applyAlignment="1">
      <x:alignment horizontal="general" vertical="bottom" wrapText="0"/>
    </x:xf>
    <x:xf numFmtId="166" fontId="12" fillId="0" borderId="2" xfId="0" applyNumberFormat="1" applyFont="1" applyFill="1" applyBorder="1" applyAlignment="1">
      <x:alignment horizontal="general" vertical="bottom" wrapText="0"/>
    </x:xf>
    <x:xf numFmtId="166" fontId="12" fillId="4" borderId="2" xfId="0" applyNumberFormat="1" applyFont="1" applyFill="1" applyBorder="1" applyAlignment="1">
      <x:alignment horizontal="general" vertical="bottom" wrapText="0"/>
    </x:xf>
    <x:xf numFmtId="170" fontId="12" fillId="4" borderId="2" xfId="0" applyNumberFormat="1" applyFont="1" applyFill="1" applyBorder="1" applyAlignment="1">
      <x:alignment horizontal="general" vertical="bottom" wrapText="0"/>
    </x:xf>
    <x:xf numFmtId="166" fontId="7" fillId="0" borderId="2" xfId="0" applyNumberFormat="1" applyFont="1" applyFill="1" applyBorder="1" applyAlignment="1">
      <x:alignment horizontal="general" vertical="bottom" wrapText="0"/>
    </x:xf>
    <x:xf numFmtId="167" fontId="9" fillId="0" borderId="2" xfId="0" applyNumberFormat="1" applyFont="1" applyFill="1" applyBorder="1" applyAlignment="1">
      <x:alignment horizontal="general" vertical="bottom" wrapText="0"/>
    </x:xf>
    <x:xf numFmtId="171" fontId="12" fillId="0" borderId="2" xfId="0" applyNumberFormat="1" applyFont="1" applyFill="1" applyBorder="1" applyAlignment="1">
      <x:alignment horizontal="general" vertical="bottom" wrapText="0"/>
    </x:xf>
    <x:xf numFmtId="172" fontId="12" fillId="0" borderId="2" xfId="0" applyNumberFormat="1" applyFont="1" applyFill="1" applyBorder="1" applyAlignment="1">
      <x:alignment horizontal="general" vertical="bottom" wrapText="0"/>
    </x:xf>
    <x:xf numFmtId="164" fontId="6" fillId="2" borderId="2" xfId="0" applyNumberFormat="1" applyFont="1" applyFill="1" applyBorder="1" applyAlignment="1">
      <x:alignment horizontal="general" vertical="bottom" wrapText="0"/>
    </x:xf>
    <x:xf numFmtId="164" fontId="0" fillId="2" borderId="2" xfId="0" applyNumberFormat="1" applyFont="1" applyFill="1" applyBorder="1" applyAlignment="1">
      <x:alignment horizontal="general" vertical="bottom" wrapText="0"/>
    </x:xf>
    <x:xf numFmtId="164" fontId="9" fillId="0" borderId="3" xfId="0" applyNumberFormat="1" applyFont="1" applyFill="1" applyBorder="1" applyAlignment="1">
      <x:alignment horizontal="general" vertical="bottom" wrapText="0"/>
    </x:xf>
    <x:xf numFmtId="167" fontId="9" fillId="0" borderId="3" xfId="0" applyNumberFormat="1" applyFont="1" applyFill="1" applyBorder="1" applyAlignment="1">
      <x:alignment horizontal="general" vertical="bottom" wrapText="0"/>
    </x:xf>
    <x:xf numFmtId="169" fontId="8" fillId="0" borderId="2" xfId="0" applyNumberFormat="1" applyFont="1" applyFill="1" applyBorder="1" applyAlignment="1">
      <x:alignment horizontal="general" vertical="bottom" wrapText="0"/>
    </x:xf>
    <x:xf numFmtId="164" fontId="0" fillId="0" borderId="3" xfId="0" applyNumberFormat="1" applyFont="1" applyFill="1" applyBorder="1" applyAlignment="1">
      <x:alignment horizontal="general" vertical="bottom" wrapText="0"/>
    </x:xf>
    <x:xf numFmtId="173" fontId="7" fillId="0" borderId="2" xfId="0" applyNumberFormat="1" applyFont="1" applyFill="1" applyBorder="1" applyAlignment="1">
      <x:alignment horizontal="general" vertical="bottom" wrapText="0"/>
    </x:xf>
    <x:xf numFmtId="170" fontId="12" fillId="0" borderId="2" xfId="0" applyNumberFormat="1" applyFont="1" applyFill="1" applyBorder="1" applyAlignment="1">
      <x:alignment horizontal="general" vertical="bottom" wrapText="0"/>
    </x:xf>
    <x:xf numFmtId="174" fontId="7" fillId="0" borderId="2" xfId="0" applyNumberFormat="1" applyFont="1" applyFill="1" applyBorder="1" applyAlignment="1">
      <x:alignment horizontal="general" vertical="bottom" wrapText="0"/>
    </x:xf>
    <x:xf numFmtId="166" fontId="13" fillId="3" borderId="2" xfId="0" applyNumberFormat="1" applyFont="1" applyFill="1" applyBorder="1" applyAlignment="1">
      <x:alignment horizontal="center" vertical="bottom" wrapText="0"/>
    </x:xf>
    <x:xf numFmtId="166" fontId="13" fillId="3" borderId="2" xfId="0" applyNumberFormat="1" applyFont="1" applyFill="1" applyBorder="1" applyAlignment="1">
      <x:alignment horizontal="general" vertical="bottom" wrapText="0"/>
    </x:xf>
    <x:xf numFmtId="165" fontId="7" fillId="0" borderId="2" xfId="0" applyNumberFormat="1" applyFont="1" applyFill="1" applyBorder="1" applyAlignment="1">
      <x:alignment horizontal="general" vertical="bottom" wrapText="0"/>
    </x:xf>
    <x:xf numFmtId="166" fontId="14" fillId="3" borderId="2" xfId="0" applyNumberFormat="1" applyFont="1" applyFill="1" applyBorder="1" applyAlignment="1">
      <x:alignment horizontal="general" vertical="bottom" wrapText="0"/>
    </x:xf>
    <x:xf numFmtId="165" fontId="7" fillId="4" borderId="2" xfId="0" applyNumberFormat="1" applyFont="1" applyFill="1" applyBorder="1" applyAlignment="1">
      <x:alignment horizontal="general" vertical="bottom" wrapText="0"/>
    </x:xf>
    <x:xf numFmtId="164" fontId="0" fillId="5" borderId="0" xfId="0" applyNumberFormat="1" applyFont="1" applyFill="1" applyBorder="1" applyAlignment="1">
      <x:alignment horizontal="general" vertical="bottom" wrapText="0"/>
    </x:xf>
    <x:xf numFmtId="164" fontId="0" fillId="5" borderId="2" xfId="0" applyNumberFormat="1" applyFont="1" applyFill="1" applyBorder="1" applyAlignment="1">
      <x:alignment horizontal="general" vertical="bottom" wrapText="0"/>
    </x:xf>
    <x:xf numFmtId="164" fontId="15" fillId="5" borderId="0" xfId="0" applyNumberFormat="1" applyFont="1" applyFill="1" applyBorder="1" applyAlignment="1">
      <x:alignment horizontal="general" vertical="bottom" wrapText="0"/>
    </x:xf>
    <x:xf numFmtId="164" fontId="15" fillId="5" borderId="2" xfId="0" applyNumberFormat="1" applyFont="1" applyFill="1" applyBorder="1" applyAlignment="1">
      <x:alignment horizontal="general" vertical="bottom" wrapText="0"/>
    </x:xf>
    <x:xf numFmtId="164" fontId="16" fillId="5" borderId="0" xfId="0" applyNumberFormat="1" applyFont="1" applyFill="1" applyBorder="1" applyAlignment="1">
      <x:alignment horizontal="general" vertical="bottom" wrapText="0"/>
    </x:xf>
    <x:xf numFmtId="164" fontId="16" fillId="5" borderId="2" xfId="0" applyNumberFormat="1" applyFont="1" applyFill="1" applyBorder="1" applyAlignment="1">
      <x:alignment horizontal="general" vertical="bottom" wrapText="0"/>
    </x:xf>
    <x:xf numFmtId="200" fontId="0" fillId="0" borderId="0" xfId="0" applyNumberFormat="1" applyFont="1" applyFill="1" applyBorder="1" applyAlignment="1">
      <x:alignment horizontal="general" vertical="bottom" wrapText="0"/>
    </x:xf>
    <x:xf numFmtId="200" fontId="0" fillId="0" borderId="2" xfId="0" applyNumberFormat="1" applyFont="1" applyFill="1" applyBorder="1" applyAlignment="1">
      <x:alignment horizontal="general" vertical="bottom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E9EEF6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44546A"/>
      <x:rgbColor rgb="FFA6A6A6"/>
      <x:rgbColor rgb="FF003366"/>
      <x:rgbColor rgb="FF339966"/>
      <x:rgbColor rgb="FF003300"/>
      <x:rgbColor rgb="FF333300"/>
      <x:rgbColor rgb="FF993300"/>
      <x:rgbColor rgb="FF993366"/>
      <x:rgbColor rgb="FF1F4788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2f33c6798a4fe3" /><Relationship Type="http://schemas.openxmlformats.org/officeDocument/2006/relationships/theme" Target="/xl/theme/theme1.xml" Id="R9e23b30d956340d5" /><Relationship Type="http://schemas.openxmlformats.org/officeDocument/2006/relationships/sharedStrings" Target="/xl/sharedStrings.xml" Id="R0d3915d80b6b4dbb" /><Relationship Type="http://schemas.openxmlformats.org/officeDocument/2006/relationships/worksheet" Target="/xl/worksheets/sheet1.xml" Id="R7f7f6d735571473c" /><Relationship Type="http://schemas.openxmlformats.org/officeDocument/2006/relationships/worksheet" Target="/xl/worksheets/sheet2.xml" Id="Ra22233709e634e66" /><Relationship Type="http://schemas.openxmlformats.org/officeDocument/2006/relationships/worksheet" Target="/xl/worksheets/sheet3.xml" Id="Ref3cbd2b24a446de" /><Relationship Type="http://schemas.openxmlformats.org/officeDocument/2006/relationships/worksheet" Target="/xl/worksheets/sheet4.xml" Id="Re1847bff0b5546cb" /><Relationship Type="http://schemas.openxmlformats.org/officeDocument/2006/relationships/worksheet" Target="/xl/worksheets/sheet5.xml" Id="R4b47831c14cb47a5" /><Relationship Type="http://schemas.openxmlformats.org/officeDocument/2006/relationships/worksheet" Target="/xl/worksheets/sheet6.xml" Id="R9149d119a2254e18" /><Relationship Type="http://schemas.openxmlformats.org/officeDocument/2006/relationships/worksheet" Target="/xl/worksheets/sheet7.xml" Id="Rbaa494802aa24e5c" /><Relationship Type="http://schemas.openxmlformats.org/officeDocument/2006/relationships/worksheet" Target="/xl/worksheets/sheet8.xml" Id="Ra3863bbc22a0467a" /><Relationship Type="http://schemas.openxmlformats.org/officeDocument/2006/relationships/worksheet" Target="/xl/worksheets/sheet9.xml" Id="R4edca55fa0c8475c" /><Relationship Type="http://schemas.openxmlformats.org/officeDocument/2006/relationships/worksheet" Target="/xl/worksheets/sheet10.xml" Id="Rcbd3b22e4bbd4fdc" /><Relationship Type="http://schemas.openxmlformats.org/officeDocument/2006/relationships/worksheet" Target="/xl/worksheets/sheet11.xml" Id="Rd6ac15e8b5a3464b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40" hidden="0" customWidth="1"/>
    <x:col min="2" max="5" width="15" hidden="0" customWidth="1"/>
    <x:col min="6" max="6" width="50" hidden="0" customWidth="1"/>
  </x:cols>
  <x:sheetData>
    <x:row r="1" ht="19.700000762939453" hidden="0">
      <x:c r="A1" s="1" t="s">
        <x:v>0</x:v>
      </x:c>
    </x:row>
    <x:row r="2" ht="15" hidden="0">
      <x:c r="A2" s="2" t="s">
        <x:v>1</x:v>
      </x:c>
    </x:row>
    <x:row r="4" ht="15" hidden="0">
      <x:c r="A4" s="3" t="s">
        <x:v>2</x:v>
      </x:c>
      <x:c r="B4" s="4" t="s">
        <x:v>3</x:v>
      </x:c>
      <x:c r="C4" s="4" t="s">
        <x:v>4</x:v>
      </x:c>
      <x:c r="D4" s="4" t="s">
        <x:v>5</x:v>
      </x:c>
      <x:c r="E4" s="4" t="s">
        <x:v>6</x:v>
      </x:c>
    </x:row>
    <x:row r="5" ht="15" hidden="0">
      <x:c r="A5" s="5" t="s">
        <x:v>7</x:v>
      </x:c>
      <x:c r="B5" s="6" t="n">
        <x:f aca="0">DCF!$M$36</x:f>
        <x:v>31.620790741080913</x:v>
      </x:c>
      <x:c r="C5" s="7" t="n">
        <x:f aca="0">DCF!$M$38</x:f>
        <x:v>-0.6801781051776989</x:v>
      </x:c>
      <x:c r="D5" s="7" t="n">
        <x:f aca="0">Inputs!$B$58</x:f>
        <x:v>0.25</x:v>
      </x:c>
      <x:c r="E5" s="8" t="n">
        <x:f aca="0">DCF!$M$31</x:f>
        <x:v>25646.161155865793</x:v>
      </x:c>
    </x:row>
    <x:row r="6" ht="15" hidden="0">
      <x:c r="A6" s="9" t="s">
        <x:v>8</x:v>
      </x:c>
      <x:c r="B6" s="6" t="n">
        <x:f aca="0">DCF!$M$14</x:f>
        <x:v>54.72690971008455</x:v>
      </x:c>
      <x:c r="C6" s="7" t="n">
        <x:f aca="0">DCF!$M$16</x:f>
        <x:v>-0.4464760826329064</x:v>
      </x:c>
      <x:c r="D6" s="7" t="n">
        <x:f aca="0">Inputs!$B$59</x:f>
        <x:v>0.5</x:v>
      </x:c>
      <x:c r="E6" s="8" t="n">
        <x:f aca="0">DCF!$M$9</x:f>
        <x:v>46718.94165559711</x:v>
      </x:c>
    </x:row>
    <x:row r="7" ht="15" hidden="0">
      <x:c r="A7" s="5" t="s">
        <x:v>9</x:v>
      </x:c>
      <x:c r="B7" s="6" t="n">
        <x:f aca="0">DCF!$M$58</x:f>
        <x:v>83.46898104512202</x:v>
      </x:c>
      <x:c r="C7" s="7" t="n">
        <x:f aca="0">DCF!$M$60</x:f>
        <x:v>-0.15577039501242018</x:v>
      </x:c>
      <x:c r="D7" s="7" t="n">
        <x:f aca="0">Inputs!$B$60</x:f>
        <x:v>0.25</x:v>
      </x:c>
      <x:c r="E7" s="8" t="n">
        <x:f aca="0">DCF!$M$53</x:f>
        <x:v>72931.71071315129</x:v>
      </x:c>
    </x:row>
    <x:row r="8" ht="15" hidden="0">
      <x:c r="A8" s="10" t="s">
        <x:v>10</x:v>
      </x:c>
      <x:c r="B8" s="11" t="n">
        <x:f aca="0">SUMPRODUCT(B5:B7,D5:D7)</x:f>
        <x:v>56.135897801593</x:v>
      </x:c>
    </x:row>
    <x:row r="9" ht="15" hidden="0">
      <x:c r="A9" s="5" t="s">
        <x:v>11</x:v>
      </x:c>
      <x:c r="B9" s="6" t="n">
        <x:f aca="0">Inputs!$B$6</x:f>
        <x:v>98.87</x:v>
      </x:c>
    </x:row>
    <x:row r="10" ht="15" hidden="0">
      <x:c r="A10" s="10" t="s">
        <x:v>12</x:v>
      </x:c>
      <x:c r="B10" s="12" t="n">
        <x:f aca="0">B8/B9-1</x:f>
        <x:v>-0.432225166363983</x:v>
      </x:c>
    </x:row>
    <x:row r="11" ht="15" hidden="0">
      <x:c r="A11" s="10" t="s">
        <x:v>13</x:v>
      </x:c>
      <x:c r="B11" s="9" t="str">
        <x:f aca="0">IF(B10&gt;0.15,"OUTPERFORM",IF(B10&lt;-0.15,"UNDERPERFORM","MARKET PERFORM"))</x:f>
        <x:v>UNDERPERFORM</x:v>
      </x:c>
    </x:row>
    <x:row r="13" ht="15" hidden="0">
      <x:c r="A13" s="5" t="s">
        <x:v>14</x:v>
      </x:c>
      <x:c r="B13" s="7" t="n">
        <x:f aca="0">Inputs!$B$26</x:f>
        <x:v>0.11671738204173646</x:v>
      </x:c>
    </x:row>
    <x:row r="14" ht="15" hidden="0">
      <x:c r="A14" s="5" t="s">
        <x:v>15</x:v>
      </x:c>
      <x:c r="B14" s="7" t="n">
        <x:f aca="0">Inputs!$B$27</x:f>
        <x:v>0.04</x:v>
      </x:c>
    </x:row>
    <x:row r="15" ht="15" hidden="0">
      <x:c r="A15" s="5" t="s">
        <x:v>16</x:v>
      </x:c>
      <x:c r="B15" s="7" t="n">
        <x:f aca="0">DCF!$M$17</x:f>
        <x:v>0.647703063791107</x:v>
      </x:c>
    </x:row>
    <x:row r="16" ht="15" hidden="0">
      <x:c r="A16" s="5" t="s">
        <x:v>17</x:v>
      </x:c>
      <x:c r="B16" s="8" t="n">
        <x:f aca="0">Inputs!B12</x:f>
        <x:v>90169.44</x:v>
      </x:c>
    </x:row>
    <x:row r="17" ht="15" hidden="0">
      <x:c r="A17" s="2" t="str">
        <x:v>Reverse DCF 25% previous claim NOT established by a live solver; use the Reverse DCF sheet and Goal Seek to determine implied growth under explicit margin assumptions.</x:v>
      </x:c>
    </x:row>
    <x:row r="18" ht="15" hidden="0">
      <x:c r="A18" s="13" t="s">
        <x:v>18</x:v>
      </x:c>
    </x:row>
    <x:row r="19" ht="15" hidden="0">
      <x:c r="A19" s="14" t="s">
        <x:v>19</x:v>
      </x:c>
    </x:row>
    <x:row r="20" ht="15" hidden="0">
      <x:c r="A20" s="5" t="s">
        <x:v>20</x:v>
      </x:c>
    </x:row>
    <x:row r="21" ht="15" hidden="0">
      <x:c r="A21" s="15" t="s">
        <x:v>21</x:v>
      </x:c>
    </x:row>
    <x:row r="22" ht="15" hidden="0">
      <x:c r="A22" s="16" t="s">
        <x:v>22</x:v>
      </x:c>
    </x:row>
    <x:row r="24" ht="15" hidden="0">
      <x:c r="A24" s="2" t="s">
        <x:v>23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1" workbookViewId="0">
      <x:pane xSplit="1" ySplit="5" topLeftCell="B6" activePane="bottomRight" state="frozen"/>
    </x:sheetView>
  </x:sheetViews>
  <x:sheetFormatPr defaultColWidth="8.6796875" defaultRowHeight="15"/>
  <x:cols>
    <x:col min="1" max="1" width="46" hidden="0" customWidth="1"/>
    <x:col min="2" max="2" width="13" hidden="0" customWidth="1"/>
    <x:col min="3" max="10" width="12" hidden="0" customWidth="1"/>
    <x:col min="11" max="11" width="60" hidden="0" customWidth="1"/>
  </x:cols>
  <x:sheetData>
    <x:row r="1" ht="19.700000762939453" hidden="0">
      <x:c r="A1" s="1" t="s">
        <x:v>24</x:v>
      </x:c>
    </x:row>
    <x:row r="2" ht="15" hidden="0">
      <x:c r="A2" s="2" t="s">
        <x:v>25</x:v>
      </x:c>
    </x:row>
    <x:row r="4" ht="15" hidden="0">
      <x:c r="A4" s="13" t="s">
        <x:v>26</x:v>
      </x:c>
    </x:row>
    <x:row r="5" ht="15" hidden="0">
      <x:c r="A5" s="3" t="s">
        <x:v>27</x:v>
      </x:c>
      <x:c r="B5" s="4" t="s">
        <x:v>28</x:v>
      </x:c>
      <x:c r="C5" s="4"/>
      <x:c r="D5" s="4"/>
      <x:c r="E5" s="4"/>
      <x:c r="F5" s="4"/>
      <x:c r="G5" s="4"/>
      <x:c r="H5" s="4"/>
      <x:c r="I5" s="4"/>
      <x:c r="J5" s="4"/>
      <x:c r="K5" s="4" t="s">
        <x:v>29</x:v>
      </x:c>
    </x:row>
    <x:row r="6" ht="15" hidden="0">
      <x:c r="A6" s="5" t="s">
        <x:v>30</x:v>
      </x:c>
      <x:c r="B6" s="17" t="n">
        <x:v>98.87</x:v>
      </x:c>
      <x:c r="K6" s="2" t="s">
        <x:v>31</x:v>
      </x:c>
    </x:row>
    <x:row r="7" ht="15" hidden="0">
      <x:c r="A7" s="5" t="s">
        <x:v>32</x:v>
      </x:c>
      <x:c r="B7" s="18" t="n">
        <x:f aca="0">DATE(2026,10,17)</x:f>
        <x:v>46312</x:v>
      </x:c>
      <x:c r="K7" s="2" t="s">
        <x:v>33</x:v>
      </x:c>
    </x:row>
    <x:row r="8" ht="15" hidden="0">
      <x:c r="A8" s="5" t="s">
        <x:v>34</x:v>
      </x:c>
      <x:c r="B8" s="18" t="n">
        <x:f aca="0">DATE(2026,12,31)</x:f>
        <x:v>46387</x:v>
      </x:c>
      <x:c r="K8" s="2" t="s">
        <x:v>35</x:v>
      </x:c>
    </x:row>
    <x:row r="9" ht="15" hidden="0">
      <x:c r="A9" s="5" t="s">
        <x:v>36</x:v>
      </x:c>
      <x:c r="B9" s="19" t="n">
        <x:v>912</x:v>
      </x:c>
      <x:c r="K9" s="2" t="s">
        <x:v>37</x:v>
      </x:c>
    </x:row>
    <x:row r="10" ht="15" hidden="0">
      <x:c r="A10" s="5" t="s">
        <x:v>38</x:v>
      </x:c>
      <x:c r="B10" s="20" t="n">
        <x:v>5362</x:v>
      </x:c>
      <x:c r="K10" s="2" t="s">
        <x:v>39</x:v>
      </x:c>
    </x:row>
    <x:row r="11" ht="15" hidden="0">
      <x:c r="A11" s="5" t="s">
        <x:v>40</x:v>
      </x:c>
      <x:c r="B11" s="20" t="n">
        <x:v>2170</x:v>
      </x:c>
      <x:c r="K11" s="2" t="s">
        <x:v>41</x:v>
      </x:c>
    </x:row>
    <x:row r="12" ht="15" hidden="0">
      <x:c r="A12" s="5" t="s">
        <x:v>42</x:v>
      </x:c>
      <x:c r="B12" s="21" t="n">
        <x:f aca="0">B6*B9</x:f>
        <x:v>90169.44</x:v>
      </x:c>
    </x:row>
    <x:row r="13" ht="15" hidden="0">
      <x:c r="A13" s="5" t="s">
        <x:v>43</x:v>
      </x:c>
      <x:c r="B13" s="22" t="n">
        <x:f aca="0">(B8-B7)/365</x:f>
        <x:v>0.2054794520547945</x:v>
      </x:c>
      <x:c r="K13" s="2" t="s">
        <x:v>44</x:v>
      </x:c>
    </x:row>
    <x:row r="15" ht="15" hidden="0">
      <x:c r="A15" s="13" t="s">
        <x:v>45</x:v>
      </x:c>
    </x:row>
    <x:row r="16" ht="15" hidden="0">
      <x:c r="A16" s="3" t="s">
        <x:v>27</x:v>
      </x:c>
      <x:c r="B16" s="4" t="s">
        <x:v>28</x:v>
      </x:c>
      <x:c r="C16" s="4"/>
      <x:c r="D16" s="4"/>
      <x:c r="E16" s="4"/>
      <x:c r="F16" s="4"/>
      <x:c r="G16" s="4"/>
      <x:c r="H16" s="4"/>
      <x:c r="I16" s="4"/>
      <x:c r="J16" s="4"/>
      <x:c r="K16" s="4" t="s">
        <x:v>29</x:v>
      </x:c>
    </x:row>
    <x:row r="17" ht="15" hidden="0">
      <x:c r="A17" s="5" t="s">
        <x:v>46</x:v>
      </x:c>
      <x:c r="B17" s="23" t="n">
        <x:v>0.0509</x:v>
      </x:c>
      <x:c r="K17" s="2" t="s">
        <x:v>47</x:v>
      </x:c>
    </x:row>
    <x:row r="18" ht="15" hidden="0">
      <x:c r="A18" s="5" t="s">
        <x:v>48</x:v>
      </x:c>
      <x:c r="B18" s="24" t="n">
        <x:v>0.045</x:v>
      </x:c>
      <x:c r="K18" s="2" t="s">
        <x:v>49</x:v>
      </x:c>
    </x:row>
    <x:row r="19" ht="15" hidden="0">
      <x:c r="A19" s="5" t="s">
        <x:v>50</x:v>
      </x:c>
      <x:c r="B19" s="25" t="n">
        <x:v>1.5</x:v>
      </x:c>
      <x:c r="K19" s="2" t="s">
        <x:v>51</x:v>
      </x:c>
    </x:row>
    <x:row r="20" ht="15" hidden="0">
      <x:c r="A20" s="5" t="s">
        <x:v>52</x:v>
      </x:c>
      <x:c r="B20" s="26" t="n">
        <x:f aca="0">B17+B19*B18</x:f>
        <x:v>0.1184</x:v>
      </x:c>
    </x:row>
    <x:row r="21" ht="15" hidden="0">
      <x:c r="A21" s="5" t="s">
        <x:v>53</x:v>
      </x:c>
      <x:c r="B21" s="23" t="n">
        <x:v>0.06</x:v>
      </x:c>
      <x:c r="K21" s="2" t="s">
        <x:v>54</x:v>
      </x:c>
    </x:row>
    <x:row r="22" ht="15" hidden="0">
      <x:c r="A22" s="5" t="s">
        <x:v>55</x:v>
      </x:c>
      <x:c r="B22" s="23" t="n">
        <x:v>0.22</x:v>
      </x:c>
      <x:c r="K22" s="2" t="s">
        <x:v>56</x:v>
      </x:c>
    </x:row>
    <x:row r="23" ht="15" hidden="0">
      <x:c r="A23" s="5" t="s">
        <x:v>57</x:v>
      </x:c>
      <x:c r="B23" s="26" t="n">
        <x:f aca="0">B21*(1-B22)</x:f>
        <x:v>0.0468</x:v>
      </x:c>
    </x:row>
    <x:row r="24" ht="15" hidden="0">
      <x:c r="A24" s="5" t="s">
        <x:v>58</x:v>
      </x:c>
      <x:c r="B24" s="26" t="n">
        <x:f aca="0">B12/(B12+B11)</x:f>
        <x:v>0.9764997491862633</x:v>
      </x:c>
    </x:row>
    <x:row r="25" ht="15" hidden="0">
      <x:c r="A25" s="5" t="s">
        <x:v>59</x:v>
      </x:c>
      <x:c r="B25" s="26" t="n">
        <x:f aca="0">B11/(B12+B11)</x:f>
        <x:v>0.023500250813736794</x:v>
      </x:c>
    </x:row>
    <x:row r="26" ht="15" hidden="0">
      <x:c r="A26" s="9" t="s">
        <x:v>14</x:v>
      </x:c>
      <x:c r="B26" s="12" t="n">
        <x:f aca="0">B24*B20+B25*B23</x:f>
        <x:v>0.11671738204173646</x:v>
      </x:c>
    </x:row>
    <x:row r="27" ht="15" hidden="0">
      <x:c r="A27" s="5" t="s">
        <x:v>60</x:v>
      </x:c>
      <x:c r="B27" s="24" t="n">
        <x:v>0.04</x:v>
      </x:c>
      <x:c r="K27" s="2" t="s">
        <x:v>61</x:v>
      </x:c>
    </x:row>
    <x:row r="29" ht="15" hidden="0">
      <x:c r="A29" s="13" t="s">
        <x:v>62</x:v>
      </x:c>
    </x:row>
    <x:row r="30" ht="15" hidden="0">
      <x:c r="A30" s="3" t="s">
        <x:v>27</x:v>
      </x:c>
      <x:c r="B30" s="4" t="s">
        <x:v>28</x:v>
      </x:c>
      <x:c r="C30" s="4"/>
      <x:c r="D30" s="4"/>
      <x:c r="E30" s="4"/>
      <x:c r="F30" s="4"/>
      <x:c r="G30" s="4"/>
      <x:c r="H30" s="4"/>
      <x:c r="I30" s="4"/>
      <x:c r="J30" s="4"/>
      <x:c r="K30" s="4" t="s">
        <x:v>29</x:v>
      </x:c>
    </x:row>
    <x:row r="31" ht="15" hidden="0">
      <x:c r="A31" s="5" t="s">
        <x:v>63</x:v>
      </x:c>
      <x:c r="B31" s="23" t="n">
        <x:v>0.017</x:v>
      </x:c>
      <x:c r="K31" s="2" t="s">
        <x:v>64</x:v>
      </x:c>
    </x:row>
    <x:row r="32" ht="15" hidden="0">
      <x:c r="A32" s="5" t="s">
        <x:v>65</x:v>
      </x:c>
      <x:c r="B32" s="23" t="n">
        <x:v>0.015</x:v>
      </x:c>
      <x:c r="K32" s="2" t="s">
        <x:v>66</x:v>
      </x:c>
    </x:row>
    <x:row r="33" ht="15" hidden="0">
      <x:c r="A33" s="5" t="s">
        <x:v>67</x:v>
      </x:c>
      <x:c r="B33" s="23" t="n">
        <x:v>0.05</x:v>
      </x:c>
      <x:c r="K33" s="2" t="s">
        <x:v>68</x:v>
      </x:c>
    </x:row>
    <x:row r="35" ht="15" hidden="0">
      <x:c r="A35" s="13" t="s">
        <x:v>69</x:v>
      </x:c>
    </x:row>
    <x:row r="36" ht="15" hidden="0">
      <x:c r="A36" s="2" t="s">
        <x:v>70</x:v>
      </x:c>
    </x:row>
    <x:row r="38" ht="15" hidden="0">
      <x:c r="A38" s="3" t="s">
        <x:v>7</x:v>
      </x:c>
      <x:c r="B38" s="4"/>
      <x:c r="C38" s="4" t="s">
        <x:v>71</x:v>
      </x:c>
      <x:c r="D38" s="4" t="s">
        <x:v>72</x:v>
      </x:c>
      <x:c r="E38" s="4" t="s">
        <x:v>73</x:v>
      </x:c>
      <x:c r="F38" s="4" t="s">
        <x:v>74</x:v>
      </x:c>
      <x:c r="G38" s="4" t="s">
        <x:v>75</x:v>
      </x:c>
      <x:c r="H38" s="4" t="s">
        <x:v>76</x:v>
      </x:c>
      <x:c r="I38" s="4" t="s">
        <x:v>77</x:v>
      </x:c>
      <x:c r="J38" s="4" t="s">
        <x:v>78</x:v>
      </x:c>
      <x:c r="K38" s="3" t="s">
        <x:v>79</x:v>
      </x:c>
    </x:row>
    <x:row r="39" ht="15" hidden="0">
      <x:c r="A39" s="5" t="s">
        <x:v>80</x:v>
      </x:c>
      <x:c r="C39" s="23" t="n">
        <x:v>0.15</x:v>
      </x:c>
      <x:c r="D39" s="23" t="n">
        <x:v>0.03</x:v>
      </x:c>
      <x:c r="E39" s="23" t="n">
        <x:v>0.06</x:v>
      </x:c>
      <x:c r="F39" s="23" t="n">
        <x:v>0.06</x:v>
      </x:c>
      <x:c r="G39" s="23" t="n">
        <x:v>0.05</x:v>
      </x:c>
      <x:c r="H39" s="23" t="n">
        <x:v>0.05</x:v>
      </x:c>
      <x:c r="I39" s="23" t="n">
        <x:v>0.04</x:v>
      </x:c>
      <x:c r="J39" s="23" t="n">
        <x:v>0.04</x:v>
      </x:c>
    </x:row>
    <x:row r="40" ht="15" hidden="0">
      <x:c r="A40" s="5" t="s">
        <x:v>81</x:v>
      </x:c>
      <x:c r="C40" s="23" t="n">
        <x:v>0.06</x:v>
      </x:c>
      <x:c r="D40" s="23" t="n">
        <x:v>0</x:v>
      </x:c>
      <x:c r="E40" s="23" t="n">
        <x:v>0.04</x:v>
      </x:c>
      <x:c r="F40" s="23" t="n">
        <x:v>0.05</x:v>
      </x:c>
      <x:c r="G40" s="23" t="n">
        <x:v>0.05</x:v>
      </x:c>
      <x:c r="H40" s="23" t="n">
        <x:v>0.04</x:v>
      </x:c>
      <x:c r="I40" s="23" t="n">
        <x:v>0.04</x:v>
      </x:c>
      <x:c r="J40" s="23" t="n">
        <x:v>0.03</x:v>
      </x:c>
    </x:row>
    <x:row r="41" ht="15" hidden="0">
      <x:c r="A41" s="5" t="s">
        <x:v>82</x:v>
      </x:c>
      <x:c r="C41" s="23" t="n">
        <x:v>0.5</x:v>
      </x:c>
      <x:c r="D41" s="23" t="n">
        <x:v>0.25</x:v>
      </x:c>
      <x:c r="E41" s="23" t="n">
        <x:v>0.18</x:v>
      </x:c>
      <x:c r="F41" s="23" t="n">
        <x:v>0.14</x:v>
      </x:c>
      <x:c r="G41" s="23" t="n">
        <x:v>0.11</x:v>
      </x:c>
      <x:c r="H41" s="23" t="n">
        <x:v>0.09</x:v>
      </x:c>
      <x:c r="I41" s="23" t="n">
        <x:v>0.07</x:v>
      </x:c>
      <x:c r="J41" s="23" t="n">
        <x:v>0.06</x:v>
      </x:c>
    </x:row>
    <x:row r="42" ht="15" hidden="0">
      <x:c r="A42" s="5" t="s">
        <x:v>83</x:v>
      </x:c>
      <x:c r="C42" s="23" t="n">
        <x:v>0.575</x:v>
      </x:c>
      <x:c r="D42" s="23" t="n">
        <x:v>0.6</x:v>
      </x:c>
      <x:c r="E42" s="23" t="n">
        <x:v>0.59</x:v>
      </x:c>
      <x:c r="F42" s="23" t="n">
        <x:v>0.58</x:v>
      </x:c>
      <x:c r="G42" s="23" t="n">
        <x:v>0.57</x:v>
      </x:c>
      <x:c r="H42" s="23" t="n">
        <x:v>0.56</x:v>
      </x:c>
      <x:c r="I42" s="23" t="n">
        <x:v>0.56</x:v>
      </x:c>
      <x:c r="J42" s="23" t="n">
        <x:v>0.56</x:v>
      </x:c>
    </x:row>
    <x:row r="44" ht="15" hidden="0">
      <x:c r="A44" s="3" t="s">
        <x:v>8</x:v>
      </x:c>
      <x:c r="B44" s="4"/>
      <x:c r="C44" s="4" t="s">
        <x:v>71</x:v>
      </x:c>
      <x:c r="D44" s="4" t="s">
        <x:v>72</x:v>
      </x:c>
      <x:c r="E44" s="4" t="s">
        <x:v>73</x:v>
      </x:c>
      <x:c r="F44" s="4" t="s">
        <x:v>74</x:v>
      </x:c>
      <x:c r="G44" s="4" t="s">
        <x:v>75</x:v>
      </x:c>
      <x:c r="H44" s="4" t="s">
        <x:v>76</x:v>
      </x:c>
      <x:c r="I44" s="4" t="s">
        <x:v>77</x:v>
      </x:c>
      <x:c r="J44" s="4" t="s">
        <x:v>78</x:v>
      </x:c>
      <x:c r="K44" s="3" t="s">
        <x:v>84</x:v>
      </x:c>
    </x:row>
    <x:row r="45" ht="15" hidden="0">
      <x:c r="A45" s="5" t="s">
        <x:v>80</x:v>
      </x:c>
      <x:c r="C45" s="23" t="n">
        <x:v>0.18</x:v>
      </x:c>
      <x:c r="D45" s="23" t="n">
        <x:v>0.18</x:v>
      </x:c>
      <x:c r="E45" s="23" t="n">
        <x:v>0.15</x:v>
      </x:c>
      <x:c r="F45" s="23" t="n">
        <x:v>0.13</x:v>
      </x:c>
      <x:c r="G45" s="23" t="n">
        <x:v>0.11</x:v>
      </x:c>
      <x:c r="H45" s="23" t="n">
        <x:v>0.09</x:v>
      </x:c>
      <x:c r="I45" s="23" t="n">
        <x:v>0.08</x:v>
      </x:c>
      <x:c r="J45" s="23" t="n">
        <x:v>0.07</x:v>
      </x:c>
    </x:row>
    <x:row r="46" ht="15" hidden="0">
      <x:c r="A46" s="5" t="s">
        <x:v>81</x:v>
      </x:c>
      <x:c r="C46" s="23" t="n">
        <x:v>0.08</x:v>
      </x:c>
      <x:c r="D46" s="23" t="n">
        <x:v>0.14</x:v>
      </x:c>
      <x:c r="E46" s="23" t="n">
        <x:v>0.12</x:v>
      </x:c>
      <x:c r="F46" s="23" t="n">
        <x:v>0.11</x:v>
      </x:c>
      <x:c r="G46" s="23" t="n">
        <x:v>0.1</x:v>
      </x:c>
      <x:c r="H46" s="23" t="n">
        <x:v>0.09</x:v>
      </x:c>
      <x:c r="I46" s="23" t="n">
        <x:v>0.08</x:v>
      </x:c>
      <x:c r="J46" s="23" t="n">
        <x:v>0.07</x:v>
      </x:c>
    </x:row>
    <x:row r="47" ht="15" hidden="0">
      <x:c r="A47" s="5" t="s">
        <x:v>82</x:v>
      </x:c>
      <x:c r="C47" s="23" t="n">
        <x:v>0.55</x:v>
      </x:c>
      <x:c r="D47" s="23" t="n">
        <x:v>0.45</x:v>
      </x:c>
      <x:c r="E47" s="23" t="n">
        <x:v>0.35</x:v>
      </x:c>
      <x:c r="F47" s="23" t="n">
        <x:v>0.28</x:v>
      </x:c>
      <x:c r="G47" s="23" t="n">
        <x:v>0.22</x:v>
      </x:c>
      <x:c r="H47" s="23" t="n">
        <x:v>0.18</x:v>
      </x:c>
      <x:c r="I47" s="23" t="n">
        <x:v>0.15</x:v>
      </x:c>
      <x:c r="J47" s="23" t="n">
        <x:v>0.12</x:v>
      </x:c>
    </x:row>
    <x:row r="48" ht="15" hidden="0">
      <x:c r="A48" s="5" t="s">
        <x:v>83</x:v>
      </x:c>
      <x:c r="C48" s="23" t="n">
        <x:v>0.565</x:v>
      </x:c>
      <x:c r="D48" s="23" t="n">
        <x:v>0.545</x:v>
      </x:c>
      <x:c r="E48" s="23" t="n">
        <x:v>0.53</x:v>
      </x:c>
      <x:c r="F48" s="23" t="n">
        <x:v>0.515</x:v>
      </x:c>
      <x:c r="G48" s="23" t="n">
        <x:v>0.505</x:v>
      </x:c>
      <x:c r="H48" s="23" t="n">
        <x:v>0.495</x:v>
      </x:c>
      <x:c r="I48" s="23" t="n">
        <x:v>0.485</x:v>
      </x:c>
      <x:c r="J48" s="23" t="n">
        <x:v>0.48</x:v>
      </x:c>
    </x:row>
    <x:row r="50" ht="15" hidden="0">
      <x:c r="A50" s="3" t="s">
        <x:v>9</x:v>
      </x:c>
      <x:c r="B50" s="4"/>
      <x:c r="C50" s="4" t="s">
        <x:v>71</x:v>
      </x:c>
      <x:c r="D50" s="4" t="s">
        <x:v>72</x:v>
      </x:c>
      <x:c r="E50" s="4" t="s">
        <x:v>73</x:v>
      </x:c>
      <x:c r="F50" s="4" t="s">
        <x:v>74</x:v>
      </x:c>
      <x:c r="G50" s="4" t="s">
        <x:v>75</x:v>
      </x:c>
      <x:c r="H50" s="4" t="s">
        <x:v>76</x:v>
      </x:c>
      <x:c r="I50" s="4" t="s">
        <x:v>77</x:v>
      </x:c>
      <x:c r="J50" s="4" t="s">
        <x:v>78</x:v>
      </x:c>
      <x:c r="K50" s="3" t="s">
        <x:v>85</x:v>
      </x:c>
    </x:row>
    <x:row r="51" ht="15" hidden="0">
      <x:c r="A51" s="5" t="s">
        <x:v>80</x:v>
      </x:c>
      <x:c r="C51" s="23" t="n">
        <x:v>0.18</x:v>
      </x:c>
      <x:c r="D51" s="23" t="n">
        <x:v>0.28</x:v>
      </x:c>
      <x:c r="E51" s="23" t="n">
        <x:v>0.24</x:v>
      </x:c>
      <x:c r="F51" s="23" t="n">
        <x:v>0.2</x:v>
      </x:c>
      <x:c r="G51" s="23" t="n">
        <x:v>0.17</x:v>
      </x:c>
      <x:c r="H51" s="23" t="n">
        <x:v>0.15</x:v>
      </x:c>
      <x:c r="I51" s="23" t="n">
        <x:v>0.13</x:v>
      </x:c>
      <x:c r="J51" s="23" t="n">
        <x:v>0.11</x:v>
      </x:c>
    </x:row>
    <x:row r="52" ht="15" hidden="0">
      <x:c r="A52" s="5" t="s">
        <x:v>81</x:v>
      </x:c>
      <x:c r="C52" s="23" t="n">
        <x:v>0.08</x:v>
      </x:c>
      <x:c r="D52" s="23" t="n">
        <x:v>0.2</x:v>
      </x:c>
      <x:c r="E52" s="23" t="n">
        <x:v>0.18</x:v>
      </x:c>
      <x:c r="F52" s="23" t="n">
        <x:v>0.15</x:v>
      </x:c>
      <x:c r="G52" s="23" t="n">
        <x:v>0.13</x:v>
      </x:c>
      <x:c r="H52" s="23" t="n">
        <x:v>0.11</x:v>
      </x:c>
      <x:c r="I52" s="23" t="n">
        <x:v>0.1</x:v>
      </x:c>
      <x:c r="J52" s="23" t="n">
        <x:v>0.09</x:v>
      </x:c>
    </x:row>
    <x:row r="53" ht="15" hidden="0">
      <x:c r="A53" s="5" t="s">
        <x:v>82</x:v>
      </x:c>
      <x:c r="C53" s="23" t="n">
        <x:v>0.55</x:v>
      </x:c>
      <x:c r="D53" s="23" t="n">
        <x:v>0.6</x:v>
      </x:c>
      <x:c r="E53" s="23" t="n">
        <x:v>0.5</x:v>
      </x:c>
      <x:c r="F53" s="23" t="n">
        <x:v>0.4</x:v>
      </x:c>
      <x:c r="G53" s="23" t="n">
        <x:v>0.32</x:v>
      </x:c>
      <x:c r="H53" s="23" t="n">
        <x:v>0.26</x:v>
      </x:c>
      <x:c r="I53" s="23" t="n">
        <x:v>0.21</x:v>
      </x:c>
      <x:c r="J53" s="23" t="n">
        <x:v>0.17</x:v>
      </x:c>
    </x:row>
    <x:row r="54" ht="15" hidden="0">
      <x:c r="A54" s="5" t="s">
        <x:v>83</x:v>
      </x:c>
      <x:c r="C54" s="23" t="n">
        <x:v>0.565</x:v>
      </x:c>
      <x:c r="D54" s="23" t="n">
        <x:v>0.52</x:v>
      </x:c>
      <x:c r="E54" s="23" t="n">
        <x:v>0.49</x:v>
      </x:c>
      <x:c r="F54" s="23" t="n">
        <x:v>0.465</x:v>
      </x:c>
      <x:c r="G54" s="23" t="n">
        <x:v>0.445</x:v>
      </x:c>
      <x:c r="H54" s="23" t="n">
        <x:v>0.43</x:v>
      </x:c>
      <x:c r="I54" s="23" t="n">
        <x:v>0.42</x:v>
      </x:c>
      <x:c r="J54" s="23" t="n">
        <x:v>0.42</x:v>
      </x:c>
    </x:row>
    <x:row r="56" ht="15" hidden="0">
      <x:c r="A56" s="2" t="s">
        <x:v>86</x:v>
      </x:c>
    </x:row>
    <x:row r="57" ht="15" hidden="0">
      <x:c r="A57" s="13" t="s">
        <x:v>87</x:v>
      </x:c>
    </x:row>
    <x:row r="58" ht="15" hidden="0">
      <x:c r="A58" s="5" t="s">
        <x:v>88</x:v>
      </x:c>
      <x:c r="B58" s="23" t="n">
        <x:v>0.25</x:v>
      </x:c>
    </x:row>
    <x:row r="59" ht="15" hidden="0">
      <x:c r="A59" s="5" t="s">
        <x:v>89</x:v>
      </x:c>
      <x:c r="B59" s="23" t="n">
        <x:v>0.5</x:v>
      </x:c>
    </x:row>
    <x:row r="60" ht="15" hidden="0">
      <x:c r="A60" s="5" t="s">
        <x:v>90</x:v>
      </x:c>
      <x:c r="B60" s="23" t="n">
        <x:v>0.25</x:v>
      </x:c>
    </x:row>
    <x:row r="61" ht="15" hidden="0">
      <x:c r="A61" s="5" t="s">
        <x:v>91</x:v>
      </x:c>
      <x:c r="B61" s="5" t="str">
        <x:f aca="0">IF(ABS(SUM(B58:B60)-1)&lt;0.0001,"OK","ERROR")</x:f>
        <x:v>OK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1" workbookViewId="0">
      <x:pane xSplit="1" ySplit="4" topLeftCell="B5" activePane="bottomRight" state="frozen"/>
    </x:sheetView>
  </x:sheetViews>
  <x:sheetFormatPr defaultColWidth="8.6796875" defaultRowHeight="15"/>
  <x:cols>
    <x:col min="1" max="1" width="44" hidden="0" customWidth="1"/>
    <x:col min="2" max="5" width="12" hidden="0" customWidth="1"/>
    <x:col min="6" max="6" width="13" hidden="0" customWidth="1"/>
    <x:col min="7" max="7" width="4" hidden="0" customWidth="1"/>
    <x:col min="8" max="8" width="60" hidden="0" customWidth="1"/>
  </x:cols>
  <x:sheetData>
    <x:row r="1" ht="19.700000762939453" hidden="0">
      <x:c r="A1" s="1" t="s">
        <x:v>92</x:v>
      </x:c>
    </x:row>
    <x:row r="2" ht="15" hidden="0">
      <x:c r="A2" s="2" t="s">
        <x:v>93</x:v>
      </x:c>
    </x:row>
    <x:row r="4" ht="15" hidden="0">
      <x:c r="A4" s="3"/>
      <x:c r="B4" s="4" t="s">
        <x:v>94</x:v>
      </x:c>
      <x:c r="C4" s="4" t="s">
        <x:v>95</x:v>
      </x:c>
      <x:c r="D4" s="4" t="s">
        <x:v>96</x:v>
      </x:c>
      <x:c r="E4" s="4" t="s">
        <x:v>97</x:v>
      </x:c>
      <x:c r="F4" s="4" t="s">
        <x:v>98</x:v>
      </x:c>
    </x:row>
    <x:row r="5" ht="15" hidden="0">
      <x:c r="A5" s="5" t="s">
        <x:v>99</x:v>
      </x:c>
      <x:c r="B5" s="20" t="n">
        <x:v>1647</x:v>
      </x:c>
      <x:c r="C5" s="20" t="n">
        <x:v>2628</x:v>
      </x:c>
      <x:c r="D5" s="20" t="n">
        <x:v>1122</x:v>
      </x:c>
      <x:c r="E5" s="20" t="n">
        <x:v>1399</x:v>
      </x:c>
      <x:c r="F5" s="21" t="n">
        <x:f aca="0">C5-D5+E5</x:f>
        <x:v>2905</x:v>
      </x:c>
    </x:row>
    <x:row r="6" ht="15" hidden="0">
      <x:c r="A6" s="5" t="s">
        <x:v>100</x:v>
      </x:c>
      <x:c r="B6" s="20" t="n">
        <x:v>1109</x:v>
      </x:c>
      <x:c r="C6" s="20" t="n">
        <x:v>1514</x:v>
      </x:c>
      <x:c r="D6" s="20" t="n">
        <x:v>647</x:v>
      </x:c>
      <x:c r="E6" s="20" t="n">
        <x:v>748</x:v>
      </x:c>
      <x:c r="F6" s="21" t="n">
        <x:f aca="0">C6-D6+E6</x:f>
        <x:v>1615</x:v>
      </x:c>
    </x:row>
    <x:row r="7" ht="15" hidden="0">
      <x:c r="A7" s="5" t="s">
        <x:v>101</x:v>
      </x:c>
      <x:c r="B7" s="20" t="n">
        <x:v>195</x:v>
      </x:c>
      <x:c r="C7" s="20" t="n">
        <x:v>331</x:v>
      </x:c>
      <x:c r="D7" s="20" t="n">
        <x:v>147</x:v>
      </x:c>
      <x:c r="E7" s="20" t="n">
        <x:v>228</x:v>
      </x:c>
      <x:c r="F7" s="21" t="n">
        <x:f aca="0">C7-D7+E7</x:f>
        <x:v>412</x:v>
      </x:c>
    </x:row>
    <x:row r="8" ht="15" hidden="0">
      <x:c r="A8" s="9" t="s">
        <x:v>102</x:v>
      </x:c>
      <x:c r="B8" s="27" t="n">
        <x:f aca="0">SUM(B5:B7)</x:f>
        <x:v>2951</x:v>
      </x:c>
      <x:c r="C8" s="27" t="n">
        <x:f aca="0">SUM(C5:C7)</x:f>
        <x:v>4473</x:v>
      </x:c>
      <x:c r="D8" s="27" t="n">
        <x:f aca="0">SUM(D5:D7)</x:f>
        <x:v>1916</x:v>
      </x:c>
      <x:c r="E8" s="27" t="n">
        <x:f aca="0">SUM(E5:E7)</x:f>
        <x:v>2375</x:v>
      </x:c>
      <x:c r="F8" s="27" t="n">
        <x:f aca="0">SUM(F5:F7)</x:f>
        <x:v>4932</x:v>
      </x:c>
    </x:row>
    <x:row r="9" ht="15" hidden="0">
      <x:c r="A9" s="5" t="s">
        <x:v>103</x:v>
      </x:c>
      <x:c r="C9" s="26" t="n">
        <x:f aca="0">C8/B8-1</x:f>
        <x:v>0.515757370382921</x:v>
      </x:c>
      <x:c r="E9" s="26" t="n">
        <x:f aca="0">E8/D8-1</x:f>
        <x:v>0.23956158663883098</x:v>
      </x:c>
    </x:row>
    <x:row r="10" ht="15" hidden="0">
      <x:c r="A10" s="5"/>
    </x:row>
    <x:row r="11" ht="15" hidden="0">
      <x:c r="A11" s="5" t="s">
        <x:v>104</x:v>
      </x:c>
      <x:c r="B11" s="20" t="n">
        <x:v>164</x:v>
      </x:c>
      <x:c r="C11" s="20" t="n">
        <x:v>211</x:v>
      </x:c>
      <x:c r="D11" s="20" t="n">
        <x:v>98</x:v>
      </x:c>
      <x:c r="E11" s="20" t="n">
        <x:v>122</x:v>
      </x:c>
      <x:c r="F11" s="21" t="n">
        <x:f aca="0">C11-D11+E11</x:f>
        <x:v>235</x:v>
      </x:c>
    </x:row>
    <x:row r="12" ht="15" hidden="0">
      <x:c r="A12" s="5" t="s">
        <x:v>105</x:v>
      </x:c>
      <x:c r="B12" s="20" t="n">
        <x:v>818</x:v>
      </x:c>
      <x:c r="C12" s="20" t="n">
        <x:v>897</x:v>
      </x:c>
      <x:c r="D12" s="20" t="n">
        <x:v>428</x:v>
      </x:c>
      <x:c r="E12" s="20" t="n">
        <x:v>497</x:v>
      </x:c>
      <x:c r="F12" s="21" t="n">
        <x:f aca="0">C12-D12+E12</x:f>
        <x:v>966</x:v>
      </x:c>
    </x:row>
    <x:row r="13" ht="15" hidden="0">
      <x:c r="A13" s="5" t="s">
        <x:v>106</x:v>
      </x:c>
      <x:c r="B13" s="20" t="n">
        <x:v>112</x:v>
      </x:c>
      <x:c r="C13" s="20" t="n">
        <x:v>130</x:v>
      </x:c>
      <x:c r="D13" s="20" t="n">
        <x:v>60</x:v>
      </x:c>
      <x:c r="E13" s="20" t="n">
        <x:v>95</x:v>
      </x:c>
      <x:c r="F13" s="21" t="n">
        <x:f aca="0">C13-D13+E13</x:f>
        <x:v>165</x:v>
      </x:c>
    </x:row>
    <x:row r="14" ht="15" hidden="0">
      <x:c r="A14" s="5" t="s">
        <x:v>107</x:v>
      </x:c>
      <x:c r="B14" s="20" t="n">
        <x:v>76</x:v>
      </x:c>
      <x:c r="C14" s="20" t="n">
        <x:v>114</x:v>
      </x:c>
      <x:c r="D14" s="20" t="n">
        <x:v>52</x:v>
      </x:c>
      <x:c r="E14" s="20" t="n">
        <x:v>92</x:v>
      </x:c>
      <x:c r="F14" s="21" t="n">
        <x:f aca="0">C14-D14+E14</x:f>
        <x:v>154</x:v>
      </x:c>
    </x:row>
    <x:row r="15" ht="15" hidden="0">
      <x:c r="A15" s="5" t="s">
        <x:v>108</x:v>
      </x:c>
      <x:c r="B15" s="20" t="n">
        <x:v>272</x:v>
      </x:c>
      <x:c r="C15" s="20" t="n">
        <x:v>399</x:v>
      </x:c>
      <x:c r="D15" s="20" t="n">
        <x:v>204</x:v>
      </x:c>
      <x:c r="E15" s="20" t="n">
        <x:v>211</x:v>
      </x:c>
      <x:c r="F15" s="21" t="n">
        <x:f aca="0">C15-D15+E15</x:f>
        <x:v>406</x:v>
      </x:c>
    </x:row>
    <x:row r="16" ht="15" hidden="0">
      <x:c r="A16" s="5" t="s">
        <x:v>109</x:v>
      </x:c>
      <x:c r="B16" s="20" t="n">
        <x:v>455</x:v>
      </x:c>
      <x:c r="C16" s="20" t="n">
        <x:v>628</x:v>
      </x:c>
      <x:c r="D16" s="20" t="n">
        <x:v>265</x:v>
      </x:c>
      <x:c r="E16" s="20" t="n">
        <x:v>373</x:v>
      </x:c>
      <x:c r="F16" s="21" t="n">
        <x:f aca="0">C16-D16+E16</x:f>
        <x:v>736</x:v>
      </x:c>
    </x:row>
    <x:row r="17" ht="15" hidden="0">
      <x:c r="A17" s="9" t="s">
        <x:v>110</x:v>
      </x:c>
      <x:c r="B17" s="27" t="n">
        <x:f aca="0">SUM(B11:B16)</x:f>
        <x:v>1897</x:v>
      </x:c>
      <x:c r="C17" s="27" t="n">
        <x:f aca="0">SUM(C11:C16)</x:f>
        <x:v>2379</x:v>
      </x:c>
      <x:c r="D17" s="27" t="n">
        <x:f aca="0">SUM(D11:D16)</x:f>
        <x:v>1107</x:v>
      </x:c>
      <x:c r="E17" s="27" t="n">
        <x:f aca="0">SUM(E11:E16)</x:f>
        <x:v>1390</x:v>
      </x:c>
      <x:c r="F17" s="27" t="n">
        <x:f aca="0">SUM(F11:F16)</x:f>
        <x:v>2662</x:v>
      </x:c>
    </x:row>
    <x:row r="18" ht="15" hidden="0">
      <x:c r="A18" s="5" t="s">
        <x:v>111</x:v>
      </x:c>
      <x:c r="B18" s="26" t="n">
        <x:f aca="0">B17/B8</x:f>
        <x:v>0.642832937987123</x:v>
      </x:c>
      <x:c r="C18" s="26" t="n">
        <x:f aca="0">C17/C8</x:f>
        <x:v>0.5318578135479544</x:v>
      </x:c>
      <x:c r="D18" s="26" t="n">
        <x:f aca="0">D17/D8</x:f>
        <x:v>0.5777661795407099</x:v>
      </x:c>
      <x:c r="E18" s="26" t="n">
        <x:f aca="0">E17/E8</x:f>
        <x:v>0.5852631578947368</x:v>
      </x:c>
      <x:c r="F18" s="26" t="n">
        <x:f aca="0">F17/F8</x:f>
        <x:v>0.5397404703974047</x:v>
      </x:c>
    </x:row>
    <x:row r="19" ht="15" hidden="0">
      <x:c r="A19" s="9" t="s">
        <x:v>112</x:v>
      </x:c>
      <x:c r="B19" s="27" t="n">
        <x:f aca="0">B8-B17</x:f>
        <x:v>1054</x:v>
      </x:c>
      <x:c r="C19" s="27" t="n">
        <x:f aca="0">C8-C17</x:f>
        <x:v>2094</x:v>
      </x:c>
      <x:c r="D19" s="27" t="n">
        <x:f aca="0">D8-D17</x:f>
        <x:v>809</x:v>
      </x:c>
      <x:c r="E19" s="27" t="n">
        <x:f aca="0">E8-E17</x:f>
        <x:v>985</x:v>
      </x:c>
      <x:c r="F19" s="27" t="n">
        <x:f aca="0">F8-F17</x:f>
        <x:v>2270</x:v>
      </x:c>
    </x:row>
    <x:row r="20" ht="15" hidden="0">
      <x:c r="A20" s="5" t="s">
        <x:v>113</x:v>
      </x:c>
      <x:c r="B20" s="26" t="n">
        <x:f aca="0">B19/B8</x:f>
        <x:v>0.357167062012877</x:v>
      </x:c>
      <x:c r="C20" s="26" t="n">
        <x:f aca="0">C19/C8</x:f>
        <x:v>0.4681421864520456</x:v>
      </x:c>
      <x:c r="D20" s="26" t="n">
        <x:f aca="0">D19/D8</x:f>
        <x:v>0.4222338204592902</x:v>
      </x:c>
      <x:c r="E20" s="26" t="n">
        <x:f aca="0">E19/E8</x:f>
        <x:v>0.4147368421052632</x:v>
      </x:c>
      <x:c r="F20" s="26" t="n">
        <x:f aca="0">F19/F8</x:f>
        <x:v>0.4602595296025953</x:v>
      </x:c>
    </x:row>
    <x:row r="21" ht="15" hidden="0">
      <x:c r="A21" s="5" t="s">
        <x:v>114</x:v>
      </x:c>
      <x:c r="B21" s="20" t="n">
        <x:v>10</x:v>
      </x:c>
      <x:c r="C21" s="20" t="n">
        <x:v>14</x:v>
      </x:c>
      <x:c r="D21" s="20" t="n">
        <x:v>4</x:v>
      </x:c>
      <x:c r="E21" s="20" t="n">
        <x:v>135</x:v>
      </x:c>
      <x:c r="F21" s="21" t="n">
        <x:f aca="0">C21-D21+E21</x:f>
        <x:v>145</x:v>
      </x:c>
    </x:row>
    <x:row r="22" ht="15" hidden="0">
      <x:c r="A22" s="5" t="s">
        <x:v>115</x:v>
      </x:c>
      <x:c r="B22" s="21" t="n">
        <x:f aca="0">B19+B21</x:f>
        <x:v>1064</x:v>
      </x:c>
      <x:c r="C22" s="21" t="n">
        <x:f aca="0">C19+C21</x:f>
        <x:v>2108</x:v>
      </x:c>
      <x:c r="D22" s="21" t="n">
        <x:f aca="0">D19+D21</x:f>
        <x:v>813</x:v>
      </x:c>
      <x:c r="E22" s="21" t="n">
        <x:f aca="0">E19+E21</x:f>
        <x:v>1120</x:v>
      </x:c>
      <x:c r="F22" s="21" t="n">
        <x:f aca="0">F19+F21</x:f>
        <x:v>2415</x:v>
      </x:c>
    </x:row>
    <x:row r="23" ht="15" hidden="0">
      <x:c r="A23" s="5" t="s">
        <x:v>116</x:v>
      </x:c>
      <x:c r="B23" s="20" t="n">
        <x:v>-347</x:v>
      </x:c>
      <x:c r="C23" s="20" t="n">
        <x:v>225</x:v>
      </x:c>
      <x:c r="D23" s="20" t="n">
        <x:v>91</x:v>
      </x:c>
      <x:c r="E23" s="20" t="n">
        <x:v>201</x:v>
      </x:c>
      <x:c r="F23" s="21" t="n">
        <x:f aca="0">C23-D23+E23</x:f>
        <x:v>335</x:v>
      </x:c>
    </x:row>
    <x:row r="24" ht="15" hidden="0">
      <x:c r="A24" s="9" t="s">
        <x:v>117</x:v>
      </x:c>
      <x:c r="B24" s="27" t="n">
        <x:f aca="0">B22-B23</x:f>
        <x:v>1411</x:v>
      </x:c>
      <x:c r="C24" s="27" t="n">
        <x:f aca="0">C22-C23</x:f>
        <x:v>1883</x:v>
      </x:c>
      <x:c r="D24" s="27" t="n">
        <x:f aca="0">D22-D23</x:f>
        <x:v>722</x:v>
      </x:c>
      <x:c r="E24" s="27" t="n">
        <x:f aca="0">E22-E23</x:f>
        <x:v>919</x:v>
      </x:c>
      <x:c r="F24" s="27" t="n">
        <x:f aca="0">F22-F23</x:f>
        <x:v>2080</x:v>
      </x:c>
    </x:row>
    <x:row r="25" ht="15" hidden="0">
      <x:c r="A25" s="5"/>
    </x:row>
    <x:row r="26" ht="15" hidden="0">
      <x:c r="A26" s="5" t="s">
        <x:v>118</x:v>
      </x:c>
      <x:c r="B26" s="20" t="n">
        <x:v>304</x:v>
      </x:c>
      <x:c r="C26" s="20" t="n">
        <x:v>305</x:v>
      </x:c>
      <x:c r="D26" s="20" t="n">
        <x:v>151</x:v>
      </x:c>
      <x:c r="E26" s="20" t="n">
        <x:v>197</x:v>
      </x:c>
      <x:c r="F26" s="21" t="n">
        <x:f aca="0">C26-D26+E26</x:f>
        <x:v>351</x:v>
      </x:c>
    </x:row>
    <x:row r="27" ht="15" hidden="0">
      <x:c r="A27" s="5" t="s">
        <x:v>119</x:v>
      </x:c>
      <x:c r="B27" s="20" t="n">
        <x:v>77</x:v>
      </x:c>
      <x:c r="C27" s="20" t="n">
        <x:v>86</x:v>
      </x:c>
      <x:c r="D27" s="20" t="n">
        <x:v>41</x:v>
      </x:c>
      <x:c r="E27" s="20" t="n">
        <x:v>46</x:v>
      </x:c>
      <x:c r="F27" s="21" t="n">
        <x:f aca="0">C27-D27+E27</x:f>
        <x:v>91</x:v>
      </x:c>
    </x:row>
    <x:row r="28" ht="15" hidden="0">
      <x:c r="A28" s="5" t="s">
        <x:v>120</x:v>
      </x:c>
      <x:c r="B28" s="20" t="n">
        <x:v>50</x:v>
      </x:c>
      <x:c r="C28" s="20" t="n">
        <x:v>54</x:v>
      </x:c>
      <x:c r="D28" s="20" t="n">
        <x:v>29</x:v>
      </x:c>
      <x:c r="E28" s="20" t="n">
        <x:v>42</x:v>
      </x:c>
      <x:c r="F28" s="21" t="n">
        <x:f aca="0">C28-D28+E28</x:f>
        <x:v>67</x:v>
      </x:c>
    </x:row>
    <x:row r="29" ht="15" hidden="0">
      <x:c r="A29" s="5" t="s">
        <x:v>121</x:v>
      </x:c>
      <x:c r="B29" s="20" t="n">
        <x:v>1429</x:v>
      </x:c>
      <x:c r="C29" s="20" t="n">
        <x:v>2522</x:v>
      </x:c>
      <x:c r="D29" s="20" t="n">
        <x:v>1019</x:v>
      </x:c>
      <x:c r="E29" s="20" t="n">
        <x:v>1275</x:v>
      </x:c>
      <x:c r="F29" s="21" t="n">
        <x:f aca="0">C29-D29+E29</x:f>
        <x:v>2778</x:v>
      </x:c>
    </x:row>
    <x:row r="30" ht="15" hidden="0">
      <x:c r="A30" s="5" t="s">
        <x:v>122</x:v>
      </x:c>
      <x:c r="B30" s="26" t="n">
        <x:f aca="0">B29/B8</x:f>
        <x:v>0.484242629617079</x:v>
      </x:c>
      <x:c r="C30" s="26" t="n">
        <x:f aca="0">C29/C8</x:f>
        <x:v>0.5638274088978315</x:v>
      </x:c>
      <x:c r="D30" s="26" t="n">
        <x:f aca="0">D29/D8</x:f>
        <x:v>0.5318371607515657</x:v>
      </x:c>
      <x:c r="E30" s="26" t="n">
        <x:f aca="0">E29/E8</x:f>
        <x:v>0.5368421052631579</x:v>
      </x:c>
      <x:c r="F30" s="26" t="n">
        <x:f aca="0">F29/F8</x:f>
        <x:v>0.5632603406326034</x:v>
      </x:c>
    </x:row>
    <x:row r="32" ht="15" hidden="0">
      <x:c r="A32" s="2" t="s">
        <x:v>123</x:v>
      </x:c>
      <x:c r="B32" s="5" t="str">
        <x:f aca="0">IF(B24=1411,"OK","CHECK")</x:f>
        <x:v>OK</x:v>
      </x:c>
      <x:c r="C32" s="5" t="str">
        <x:f aca="0">IF(C24=1883,"OK","CHECK")</x:f>
        <x:v>OK</x:v>
      </x:c>
      <x:c r="D32" s="5" t="str">
        <x:f aca="0">IF(D24=722,"OK","CHECK")</x:f>
        <x:v>OK</x:v>
      </x:c>
      <x:c r="E32" s="5" t="str">
        <x:f aca="0">IF(E24=919,"OK","CHECK")</x:f>
        <x:v>OK</x:v>
      </x:c>
    </x:row>
    <x:row r="34" ht="15" hidden="0">
      <x:c r="A34" s="13" t="s">
        <x:v>124</x:v>
      </x:c>
    </x:row>
    <x:row r="35" ht="15" hidden="0">
      <x:c r="A35" s="3" t="s">
        <x:v>125</x:v>
      </x:c>
      <x:c r="B35" s="4" t="s">
        <x:v>126</x:v>
      </x:c>
      <x:c r="C35" s="4" t="s">
        <x:v>127</x:v>
      </x:c>
      <x:c r="D35" s="4"/>
      <x:c r="E35" s="4"/>
      <x:c r="F35" s="4"/>
    </x:row>
    <x:row r="36" ht="15" hidden="0">
      <x:c r="A36" s="5" t="s">
        <x:v>128</x:v>
      </x:c>
      <x:c r="B36" s="28" t="n">
        <x:v>27</x:v>
      </x:c>
      <x:c r="C36" s="28" t="n">
        <x:v>28.4</x:v>
      </x:c>
    </x:row>
    <x:row r="37" ht="15" hidden="0">
      <x:c r="A37" s="5" t="s">
        <x:v>129</x:v>
      </x:c>
      <x:c r="B37" s="28" t="n">
        <x:v>4.2</x:v>
      </x:c>
      <x:c r="C37" s="28" t="n">
        <x:v>4.8</x:v>
      </x:c>
    </x:row>
    <x:row r="38" ht="15" hidden="0">
      <x:c r="A38" s="5" t="s">
        <x:v>130</x:v>
      </x:c>
      <x:c r="B38" s="20" t="n">
        <x:v>324</x:v>
      </x:c>
      <x:c r="C38" s="20" t="n">
        <x:v>369</x:v>
      </x:c>
    </x:row>
    <x:row r="39" ht="15" hidden="0">
      <x:c r="A39" s="5" t="s">
        <x:v>131</x:v>
      </x:c>
      <x:c r="B39" s="29" t="n">
        <x:v>15.9</x:v>
      </x:c>
      <x:c r="C39" s="29" t="n">
        <x:v>21.7</x:v>
      </x:c>
    </x:row>
    <x:row r="40" ht="15" hidden="0">
      <x:c r="A40" s="5" t="s">
        <x:v>132</x:v>
      </x:c>
      <x:c r="B40" s="20" t="n">
        <x:v>191</x:v>
      </x:c>
      <x:c r="C40" s="20" t="n">
        <x:v>187</x:v>
      </x:c>
    </x:row>
    <x:row r="41" ht="15" hidden="0">
      <x:c r="A41" s="5" t="s">
        <x:v>133</x:v>
      </x:c>
      <x:c r="B41" s="29" t="n">
        <x:v>16.8</x:v>
      </x:c>
      <x:c r="C41" s="29" t="n">
        <x:v>21.6</x:v>
      </x:c>
    </x:row>
    <x:row r="42" ht="15" hidden="0">
      <x:c r="A42" s="2" t="s">
        <x:v>134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1" workbookViewId="0">
      <x:pane xSplit="1" ySplit="3" topLeftCell="B4" activePane="bottomRight" state="frozen"/>
    </x:sheetView>
  </x:sheetViews>
  <x:sheetFormatPr defaultColWidth="8.6796875" defaultRowHeight="15"/>
  <x:cols>
    <x:col min="1" max="1" width="42" hidden="0" customWidth="1"/>
    <x:col min="2" max="2" width="12" hidden="0" customWidth="1"/>
    <x:col min="3" max="10" width="11.5" hidden="0" customWidth="1"/>
    <x:col min="11" max="11" width="4" hidden="0" customWidth="1"/>
    <x:col min="12" max="12" width="30" hidden="0" customWidth="1"/>
    <x:col min="13" max="13" width="13" hidden="0" customWidth="1"/>
  </x:cols>
  <x:sheetData>
    <x:row r="1" ht="19.700000762939453" hidden="0">
      <x:c r="A1" s="1" t="s">
        <x:v>135</x:v>
      </x:c>
    </x:row>
    <x:row r="2" ht="15" hidden="0">
      <x:c r="A2" s="2" t="s">
        <x:v>136</x:v>
      </x:c>
    </x:row>
    <x:row r="4" ht="15" hidden="0">
      <x:c r="A4" s="3" t="s">
        <x:v>137</x:v>
      </x:c>
      <x:c r="B4" s="4" t="s">
        <x:v>138</x:v>
      </x:c>
      <x:c r="C4" s="4" t="s">
        <x:v>71</x:v>
      </x:c>
      <x:c r="D4" s="4" t="s">
        <x:v>72</x:v>
      </x:c>
      <x:c r="E4" s="4" t="s">
        <x:v>73</x:v>
      </x:c>
      <x:c r="F4" s="4" t="s">
        <x:v>74</x:v>
      </x:c>
      <x:c r="G4" s="4" t="s">
        <x:v>75</x:v>
      </x:c>
      <x:c r="H4" s="4" t="s">
        <x:v>76</x:v>
      </x:c>
      <x:c r="I4" s="4" t="s">
        <x:v>77</x:v>
      </x:c>
      <x:c r="J4" s="4" t="s">
        <x:v>78</x:v>
      </x:c>
      <x:c r="L4" s="30" t="s">
        <x:v>139</x:v>
      </x:c>
      <x:c r="M4" s="31"/>
    </x:row>
    <x:row r="5" ht="15" hidden="0">
      <x:c r="A5" s="5" t="s">
        <x:v>99</x:v>
      </x:c>
      <x:c r="B5" s="8" t="n">
        <x:f aca="0">Historicals!C5</x:f>
        <x:v>2628</x:v>
      </x:c>
      <x:c r="C5" s="21" t="n">
        <x:f aca="0">B5*(1+Inputs!C45)</x:f>
        <x:v>3101.04</x:v>
      </x:c>
      <x:c r="D5" s="21" t="n">
        <x:f aca="0">C5*(1+Inputs!D45)</x:f>
        <x:v>3659.2272</x:v>
      </x:c>
      <x:c r="E5" s="21" t="n">
        <x:f aca="0">D5*(1+Inputs!E45)</x:f>
        <x:v>4208.111279999999</x:v>
      </x:c>
      <x:c r="F5" s="21" t="n">
        <x:f aca="0">E5*(1+Inputs!F45)</x:f>
        <x:v>4755.165746399998</x:v>
      </x:c>
      <x:c r="G5" s="21" t="n">
        <x:f aca="0">F5*(1+Inputs!G45)</x:f>
        <x:v>5278.2339785039985</x:v>
      </x:c>
      <x:c r="H5" s="21" t="n">
        <x:f aca="0">G5*(1+Inputs!H45)</x:f>
        <x:v>5753.275036569359</x:v>
      </x:c>
      <x:c r="I5" s="21" t="n">
        <x:f aca="0">H5*(1+Inputs!I45)</x:f>
        <x:v>6213.537039494909</x:v>
      </x:c>
      <x:c r="J5" s="21" t="n">
        <x:f aca="0">I5*(1+Inputs!J45)</x:f>
        <x:v>6648.484632259552</x:v>
      </x:c>
      <x:c r="L5" s="5" t="s">
        <x:v>140</x:v>
      </x:c>
      <x:c r="M5" s="21" t="n">
        <x:f aca="0">SUM(C23:J23)</x:f>
        <x:v>16458.94000818889</x:v>
      </x:c>
    </x:row>
    <x:row r="6" ht="15" hidden="0">
      <x:c r="A6" s="5" t="s">
        <x:v>100</x:v>
      </x:c>
      <x:c r="B6" s="8" t="n">
        <x:f aca="0">Historicals!C6</x:f>
        <x:v>1514</x:v>
      </x:c>
      <x:c r="C6" s="21" t="n">
        <x:f aca="0">B6*(1+Inputs!C46)</x:f>
        <x:v>1635.1200000000001</x:v>
      </x:c>
      <x:c r="D6" s="21" t="n">
        <x:f aca="0">C6*(1+Inputs!D46)</x:f>
        <x:v>1864.0368000000003</x:v>
      </x:c>
      <x:c r="E6" s="21" t="n">
        <x:f aca="0">D6*(1+Inputs!E46)</x:f>
        <x:v>2087.7212160000004</x:v>
      </x:c>
      <x:c r="F6" s="21" t="n">
        <x:f aca="0">E6*(1+Inputs!F46)</x:f>
        <x:v>2317.370549760001</x:v>
      </x:c>
      <x:c r="G6" s="21" t="n">
        <x:f aca="0">F6*(1+Inputs!G46)</x:f>
        <x:v>2549.107604736001</x:v>
      </x:c>
      <x:c r="H6" s="21" t="n">
        <x:f aca="0">G6*(1+Inputs!H46)</x:f>
        <x:v>2778.5272891622412</x:v>
      </x:c>
      <x:c r="I6" s="21" t="n">
        <x:f aca="0">H6*(1+Inputs!I46)</x:f>
        <x:v>3000.8094722952205</x:v>
      </x:c>
      <x:c r="J6" s="21" t="n">
        <x:f aca="0">I6*(1+Inputs!J46)</x:f>
        <x:v>3210.866135355886</x:v>
      </x:c>
      <x:c r="L6" s="5" t="s">
        <x:v>141</x:v>
      </x:c>
      <x:c r="M6" s="21" t="n">
        <x:f aca="0">J18</x:f>
        <x:v>4945.197866269806</x:v>
      </x:c>
    </x:row>
    <x:row r="7" ht="15" hidden="0">
      <x:c r="A7" s="5" t="s">
        <x:v>101</x:v>
      </x:c>
      <x:c r="B7" s="8" t="n">
        <x:f aca="0">Historicals!C7</x:f>
        <x:v>331</x:v>
      </x:c>
      <x:c r="C7" s="21" t="n">
        <x:f aca="0">B7*(1+Inputs!C47)</x:f>
        <x:v>513.0500000000001</x:v>
      </x:c>
      <x:c r="D7" s="21" t="n">
        <x:f aca="0">C7*(1+Inputs!D47)</x:f>
        <x:v>743.9225000000001</x:v>
      </x:c>
      <x:c r="E7" s="21" t="n">
        <x:f aca="0">D7*(1+Inputs!E47)</x:f>
        <x:v>1004.2953750000003</x:v>
      </x:c>
      <x:c r="F7" s="21" t="n">
        <x:f aca="0">E7*(1+Inputs!F47)</x:f>
        <x:v>1285.4980800000003</x:v>
      </x:c>
      <x:c r="G7" s="21" t="n">
        <x:f aca="0">F7*(1+Inputs!G47)</x:f>
        <x:v>1568.3076576000003</x:v>
      </x:c>
      <x:c r="H7" s="21" t="n">
        <x:f aca="0">G7*(1+Inputs!H47)</x:f>
        <x:v>1850.6030359680003</x:v>
      </x:c>
      <x:c r="I7" s="21" t="n">
        <x:f aca="0">H7*(1+Inputs!I47)</x:f>
        <x:v>2128.1934913632003</x:v>
      </x:c>
      <x:c r="J7" s="21" t="n">
        <x:f aca="0">I7*(1+Inputs!J47)</x:f>
        <x:v>2383.5767103267845</x:v>
      </x:c>
      <x:c r="L7" s="5" t="s">
        <x:v>142</x:v>
      </x:c>
      <x:c r="M7" s="21" t="n">
        <x:f aca="0">M6*(1+Inputs!$B$27)/(Inputs!$B$26-Inputs!$B$27)</x:f>
        <x:v>67038.33791047061</x:v>
      </x:c>
    </x:row>
    <x:row r="8" ht="15" hidden="0">
      <x:c r="A8" s="9" t="s">
        <x:v>102</x:v>
      </x:c>
      <x:c r="B8" s="27" t="n">
        <x:f aca="0">SUM(B5:B7)</x:f>
        <x:v>4473</x:v>
      </x:c>
      <x:c r="C8" s="27" t="n">
        <x:f aca="0">SUM(C5:C7)</x:f>
        <x:v>5249.21</x:v>
      </x:c>
      <x:c r="D8" s="27" t="n">
        <x:f aca="0">SUM(D5:D7)</x:f>
        <x:v>6267.1865</x:v>
      </x:c>
      <x:c r="E8" s="27" t="n">
        <x:f aca="0">SUM(E5:E7)</x:f>
        <x:v>7300.127871</x:v>
      </x:c>
      <x:c r="F8" s="27" t="n">
        <x:f aca="0">SUM(F5:F7)</x:f>
        <x:v>8358.034376159998</x:v>
      </x:c>
      <x:c r="G8" s="27" t="n">
        <x:f aca="0">SUM(G5:G7)</x:f>
        <x:v>9395.64924084</x:v>
      </x:c>
      <x:c r="H8" s="27" t="n">
        <x:f aca="0">SUM(H5:H7)</x:f>
        <x:v>10382.4053616996</x:v>
      </x:c>
      <x:c r="I8" s="27" t="n">
        <x:f aca="0">SUM(I5:I7)</x:f>
        <x:v>11342.540003153328</x:v>
      </x:c>
      <x:c r="J8" s="27" t="n">
        <x:f aca="0">SUM(J5:J7)</x:f>
        <x:v>12242.927477942223</x:v>
      </x:c>
      <x:c r="L8" s="5" t="s">
        <x:v>143</x:v>
      </x:c>
      <x:c r="M8" s="21" t="n">
        <x:f aca="0">M7/(1+Inputs!$B$26)^(Inputs!$B$13+7)</x:f>
        <x:v>30260.001647408222</x:v>
      </x:c>
    </x:row>
    <x:row r="9" ht="15" hidden="0">
      <x:c r="A9" s="5" t="s">
        <x:v>103</x:v>
      </x:c>
      <x:c r="C9" s="26" t="n">
        <x:f aca="0">C8/B8-1</x:f>
        <x:v>0.17353230494075556</x:v>
      </x:c>
      <x:c r="D9" s="26" t="n">
        <x:f aca="0">D8/C8-1</x:f>
        <x:v>0.1939294674817733</x:v>
      </x:c>
      <x:c r="E9" s="26" t="n">
        <x:f aca="0">E8/D8-1</x:f>
        <x:v>0.16481739788659544</x:v>
      </x:c>
      <x:c r="F9" s="26" t="n">
        <x:f aca="0">F8/E8-1</x:f>
        <x:v>0.14491616090213522</x:v>
      </x:c>
      <x:c r="G9" s="26" t="n">
        <x:f aca="0">G8/F8-1</x:f>
        <x:v>0.12414580007467291</x:v>
      </x:c>
      <x:c r="H9" s="26" t="n">
        <x:f aca="0">H8/G8-1</x:f>
        <x:v>0.10502266480643763</x:v>
      </x:c>
      <x:c r="I9" s="26" t="n">
        <x:f aca="0">I8/H8-1</x:f>
        <x:v>0.09247709061675025</x:v>
      </x:c>
      <x:c r="J9" s="26" t="n">
        <x:f aca="0">J8/I8-1</x:f>
        <x:v>0.07938146786686051</x:v>
      </x:c>
      <x:c r="L9" s="9" t="s">
        <x:v>144</x:v>
      </x:c>
      <x:c r="M9" s="27" t="n">
        <x:f aca="0">M5+M8</x:f>
        <x:v>46718.94165559711</x:v>
      </x:c>
    </x:row>
    <x:row r="10" ht="15" hidden="0">
      <x:c r="A10" s="5" t="s">
        <x:v>145</x:v>
      </x:c>
      <x:c r="B10" s="8" t="n">
        <x:f aca="0">Historicals!C17</x:f>
        <x:v>2379</x:v>
      </x:c>
      <x:c r="C10" s="21" t="n">
        <x:f aca="0">C8*Inputs!C48</x:f>
        <x:v>2965.80365</x:v>
      </x:c>
      <x:c r="D10" s="21" t="n">
        <x:f aca="0">D8*Inputs!D48</x:f>
        <x:v>3415.6166425</x:v>
      </x:c>
      <x:c r="E10" s="21" t="n">
        <x:f aca="0">E8*Inputs!E48</x:f>
        <x:v>3869.06777163</x:v>
      </x:c>
      <x:c r="F10" s="21" t="n">
        <x:f aca="0">F8*Inputs!F48</x:f>
        <x:v>4304.387703722399</x:v>
      </x:c>
      <x:c r="G10" s="21" t="n">
        <x:f aca="0">G8*Inputs!G48</x:f>
        <x:v>4744.802866624201</x:v>
      </x:c>
      <x:c r="H10" s="21" t="n">
        <x:f aca="0">H8*Inputs!H48</x:f>
        <x:v>5139.290654041302</x:v>
      </x:c>
      <x:c r="I10" s="21" t="n">
        <x:f aca="0">I8*Inputs!I48</x:f>
        <x:v>5501.131901529364</x:v>
      </x:c>
      <x:c r="J10" s="21" t="n">
        <x:f aca="0">J8*Inputs!J48</x:f>
        <x:v>5876.605189412267</x:v>
      </x:c>
      <x:c r="L10" s="5" t="s">
        <x:v>146</x:v>
      </x:c>
      <x:c r="M10" s="8" t="n">
        <x:f aca="0">Inputs!$B$10</x:f>
        <x:v>5362</x:v>
      </x:c>
    </x:row>
    <x:row r="11" ht="15" hidden="0">
      <x:c r="A11" s="32" t="s">
        <x:v>147</x:v>
      </x:c>
      <x:c r="B11" s="33" t="n">
        <x:f aca="0">B8-B10</x:f>
        <x:v>2094</x:v>
      </x:c>
      <x:c r="C11" s="33" t="n">
        <x:f aca="0">C8-C10</x:f>
        <x:v>2283.40635</x:v>
      </x:c>
      <x:c r="D11" s="33" t="n">
        <x:f aca="0">D8-D10</x:f>
        <x:v>2851.5698574999997</x:v>
      </x:c>
      <x:c r="E11" s="33" t="n">
        <x:f aca="0">E8-E10</x:f>
        <x:v>3431.0600993699995</x:v>
      </x:c>
      <x:c r="F11" s="33" t="n">
        <x:f aca="0">F8-F10</x:f>
        <x:v>4053.6466724375987</x:v>
      </x:c>
      <x:c r="G11" s="33" t="n">
        <x:f aca="0">G8-G10</x:f>
        <x:v>4650.8463742158</x:v>
      </x:c>
      <x:c r="H11" s="33" t="n">
        <x:f aca="0">H8-H10</x:f>
        <x:v>5243.114707658298</x:v>
      </x:c>
      <x:c r="I11" s="33" t="n">
        <x:f aca="0">I8-I10</x:f>
        <x:v>5841.408101623964</x:v>
      </x:c>
      <x:c r="J11" s="33" t="n">
        <x:f aca="0">J8-J10</x:f>
        <x:v>6366.3222885299565</x:v>
      </x:c>
      <x:c r="L11" s="5" t="s">
        <x:v>148</x:v>
      </x:c>
      <x:c r="M11" s="8" t="n">
        <x:f aca="0">-Inputs!$B$11</x:f>
        <x:v>-2170</x:v>
      </x:c>
    </x:row>
    <x:row r="12" ht="15" hidden="0">
      <x:c r="A12" s="5" t="s">
        <x:v>113</x:v>
      </x:c>
      <x:c r="B12" s="26" t="n">
        <x:f aca="0">B11/B8</x:f>
        <x:v>0.4681421864520456</x:v>
      </x:c>
      <x:c r="C12" s="26" t="n">
        <x:f aca="0">C11/C8</x:f>
        <x:v>0.43500000000000005</x:v>
      </x:c>
      <x:c r="D12" s="26" t="n">
        <x:f aca="0">D11/D8</x:f>
        <x:v>0.45499999999999996</x:v>
      </x:c>
      <x:c r="E12" s="26" t="n">
        <x:f aca="0">E11/E8</x:f>
        <x:v>0.47</x:v>
      </x:c>
      <x:c r="F12" s="26" t="n">
        <x:f aca="0">F11/F8</x:f>
        <x:v>0.485</x:v>
      </x:c>
      <x:c r="G12" s="26" t="n">
        <x:f aca="0">G11/G8</x:f>
        <x:v>0.49499999999999994</x:v>
      </x:c>
      <x:c r="H12" s="26" t="n">
        <x:f aca="0">H11/H8</x:f>
        <x:v>0.505</x:v>
      </x:c>
      <x:c r="I12" s="26" t="n">
        <x:f aca="0">I11/I8</x:f>
        <x:v>0.515</x:v>
      </x:c>
      <x:c r="J12" s="26" t="n">
        <x:f aca="0">J11/J8</x:f>
        <x:v>0.52</x:v>
      </x:c>
      <x:c r="L12" s="9" t="s">
        <x:v>149</x:v>
      </x:c>
      <x:c r="M12" s="27" t="n">
        <x:f aca="0">SUM(M9:M11)</x:f>
        <x:v>49910.94165559711</x:v>
      </x:c>
    </x:row>
    <x:row r="13" ht="15" hidden="0">
      <x:c r="A13" s="5" t="s">
        <x:v>150</x:v>
      </x:c>
      <x:c r="C13" s="21" t="n">
        <x:f aca="0">-C11*Inputs!$B$22</x:f>
        <x:v>-502.34939700000007</x:v>
      </x:c>
      <x:c r="D13" s="21" t="n">
        <x:f aca="0">-D11*Inputs!$B$22</x:f>
        <x:v>-627.34536865</x:v>
      </x:c>
      <x:c r="E13" s="21" t="n">
        <x:f aca="0">-E11*Inputs!$B$22</x:f>
        <x:v>-754.8332218613999</x:v>
      </x:c>
      <x:c r="F13" s="21" t="n">
        <x:f aca="0">-F11*Inputs!$B$22</x:f>
        <x:v>-891.8022679362717</x:v>
      </x:c>
      <x:c r="G13" s="21" t="n">
        <x:f aca="0">-G11*Inputs!$B$22</x:f>
        <x:v>-1023.186202327476</x:v>
      </x:c>
      <x:c r="H13" s="21" t="n">
        <x:f aca="0">-H11*Inputs!$B$22</x:f>
        <x:v>-1153.4852356848257</x:v>
      </x:c>
      <x:c r="I13" s="21" t="n">
        <x:f aca="0">-I11*Inputs!$B$22</x:f>
        <x:v>-1285.1097823572723</x:v>
      </x:c>
      <x:c r="J13" s="21" t="n">
        <x:f aca="0">-J11*Inputs!$B$22</x:f>
        <x:v>-1400.5909034765905</x:v>
      </x:c>
      <x:c r="L13" s="5" t="s">
        <x:v>36</x:v>
      </x:c>
      <x:c r="M13" s="34" t="n">
        <x:f aca="0">Inputs!$B$9</x:f>
        <x:v>912</x:v>
      </x:c>
    </x:row>
    <x:row r="14" ht="15" hidden="0">
      <x:c r="A14" s="5" t="s">
        <x:v>151</x:v>
      </x:c>
      <x:c r="C14" s="21" t="n">
        <x:f aca="0">C11+C13</x:f>
        <x:v>1781.0569530000002</x:v>
      </x:c>
      <x:c r="D14" s="21" t="n">
        <x:f aca="0">D11+D13</x:f>
        <x:v>2224.22448885</x:v>
      </x:c>
      <x:c r="E14" s="21" t="n">
        <x:f aca="0">E11+E13</x:f>
        <x:v>2676.2268775085995</x:v>
      </x:c>
      <x:c r="F14" s="21" t="n">
        <x:f aca="0">F11+F13</x:f>
        <x:v>3161.844404501327</x:v>
      </x:c>
      <x:c r="G14" s="21" t="n">
        <x:f aca="0">G11+G13</x:f>
        <x:v>3627.660171888324</x:v>
      </x:c>
      <x:c r="H14" s="21" t="n">
        <x:f aca="0">H11+H13</x:f>
        <x:v>4089.6294719734724</x:v>
      </x:c>
      <x:c r="I14" s="21" t="n">
        <x:f aca="0">I11+I13</x:f>
        <x:v>4556.2983192666925</x:v>
      </x:c>
      <x:c r="J14" s="21" t="n">
        <x:f aca="0">J11+J13</x:f>
        <x:v>4965.7313850533665</x:v>
      </x:c>
      <x:c r="L14" s="9" t="s">
        <x:v>152</x:v>
      </x:c>
      <x:c r="M14" s="11" t="n">
        <x:f aca="0">M12/M13</x:f>
        <x:v>54.72690971008455</x:v>
      </x:c>
    </x:row>
    <x:row r="15" ht="15" hidden="0">
      <x:c r="A15" s="5" t="s">
        <x:v>153</x:v>
      </x:c>
      <x:c r="C15" s="21" t="n">
        <x:f aca="0">C8*Inputs!$B$31</x:f>
        <x:v>89.23657</x:v>
      </x:c>
      <x:c r="D15" s="21" t="n">
        <x:f aca="0">D8*Inputs!$B$31</x:f>
        <x:v>106.5421705</x:v>
      </x:c>
      <x:c r="E15" s="21" t="n">
        <x:f aca="0">E8*Inputs!$B$31</x:f>
        <x:v>124.102173807</x:v>
      </x:c>
      <x:c r="F15" s="21" t="n">
        <x:f aca="0">F8*Inputs!$B$31</x:f>
        <x:v>142.08658439471998</x:v>
      </x:c>
      <x:c r="G15" s="21" t="n">
        <x:f aca="0">G8*Inputs!$B$31</x:f>
        <x:v>159.72603709428003</x:v>
      </x:c>
      <x:c r="H15" s="21" t="n">
        <x:f aca="0">H8*Inputs!$B$31</x:f>
        <x:v>176.50089114889323</x:v>
      </x:c>
      <x:c r="I15" s="21" t="n">
        <x:f aca="0">I8*Inputs!$B$31</x:f>
        <x:v>192.8231800536066</x:v>
      </x:c>
      <x:c r="J15" s="21" t="n">
        <x:f aca="0">J8*Inputs!$B$31</x:f>
        <x:v>208.1297671250178</x:v>
      </x:c>
      <x:c r="L15" s="5" t="s">
        <x:v>154</x:v>
      </x:c>
      <x:c r="M15" s="6" t="n">
        <x:f aca="0">Inputs!$B$6</x:f>
        <x:v>98.87</x:v>
      </x:c>
    </x:row>
    <x:row r="16" ht="15" hidden="0">
      <x:c r="A16" s="5" t="s">
        <x:v>155</x:v>
      </x:c>
      <x:c r="C16" s="21" t="n">
        <x:f aca="0">-C8*Inputs!$B$32</x:f>
        <x:v>-78.73815</x:v>
      </x:c>
      <x:c r="D16" s="21" t="n">
        <x:f aca="0">-D8*Inputs!$B$32</x:f>
        <x:v>-94.0077975</x:v>
      </x:c>
      <x:c r="E16" s="21" t="n">
        <x:f aca="0">-E8*Inputs!$B$32</x:f>
        <x:v>-109.501918065</x:v>
      </x:c>
      <x:c r="F16" s="21" t="n">
        <x:f aca="0">-F8*Inputs!$B$32</x:f>
        <x:v>-125.37051564239997</x:v>
      </x:c>
      <x:c r="G16" s="21" t="n">
        <x:f aca="0">-G8*Inputs!$B$32</x:f>
        <x:v>-140.9347386126</x:v>
      </x:c>
      <x:c r="H16" s="21" t="n">
        <x:f aca="0">-H8*Inputs!$B$32</x:f>
        <x:v>-155.736080425494</x:v>
      </x:c>
      <x:c r="I16" s="21" t="n">
        <x:f aca="0">-I8*Inputs!$B$32</x:f>
        <x:v>-170.13810004729993</x:v>
      </x:c>
      <x:c r="J16" s="21" t="n">
        <x:f aca="0">-J8*Inputs!$B$32</x:f>
        <x:v>-183.64391216913333</x:v>
      </x:c>
      <x:c r="L16" s="5" t="s">
        <x:v>156</x:v>
      </x:c>
      <x:c r="M16" s="26" t="n">
        <x:f aca="0">M14/M15-1</x:f>
        <x:v>-0.4464760826329064</x:v>
      </x:c>
    </x:row>
    <x:row r="17" ht="15" hidden="0">
      <x:c r="A17" s="5" t="s">
        <x:v>157</x:v>
      </x:c>
      <x:c r="C17" s="21" t="n">
        <x:f aca="0">-(C8-B8)*Inputs!$B$33</x:f>
        <x:v>-38.810500000000005</x:v>
      </x:c>
      <x:c r="D17" s="21" t="n">
        <x:f aca="0">-(D8-C8)*Inputs!$B$33</x:f>
        <x:v>-50.89882499999999</x:v>
      </x:c>
      <x:c r="E17" s="21" t="n">
        <x:f aca="0">-(E8-D8)*Inputs!$B$33</x:f>
        <x:v>-51.64706855</x:v>
      </x:c>
      <x:c r="F17" s="21" t="n">
        <x:f aca="0">-(F8-E8)*Inputs!$B$33</x:f>
        <x:v>-52.895325257999914</x:v>
      </x:c>
      <x:c r="G17" s="21" t="n">
        <x:f aca="0">-(G8-F8)*Inputs!$B$33</x:f>
        <x:v>-51.88074323400015</x:v>
      </x:c>
      <x:c r="H17" s="21" t="n">
        <x:f aca="0">-(H8-G8)*Inputs!$B$33</x:f>
        <x:v>-49.33780604297999</x:v>
      </x:c>
      <x:c r="I17" s="21" t="n">
        <x:f aca="0">-(I8-H8)*Inputs!$B$33</x:f>
        <x:v>-48.006732072686376</x:v>
      </x:c>
      <x:c r="J17" s="21" t="n">
        <x:f aca="0">-(J8-I8)*Inputs!$B$33</x:f>
        <x:v>-45.019373739444745</x:v>
      </x:c>
      <x:c r="L17" s="5" t="s">
        <x:v>158</x:v>
      </x:c>
      <x:c r="M17" s="26" t="n">
        <x:f aca="0">M8/M9</x:f>
        <x:v>0.647703063791107</x:v>
      </x:c>
    </x:row>
    <x:row r="18" ht="15" hidden="0">
      <x:c r="A18" s="32" t="s">
        <x:v>159</x:v>
      </x:c>
      <x:c r="B18" s="35"/>
      <x:c r="C18" s="33" t="n">
        <x:f aca="0">SUM(C14:C17)</x:f>
        <x:v>1752.7448730000003</x:v>
      </x:c>
      <x:c r="D18" s="33" t="n">
        <x:f aca="0">SUM(D14:D17)</x:f>
        <x:v>2185.86003685</x:v>
      </x:c>
      <x:c r="E18" s="33" t="n">
        <x:f aca="0">SUM(E14:E17)</x:f>
        <x:v>2639.1800647005994</x:v>
      </x:c>
      <x:c r="F18" s="33" t="n">
        <x:f aca="0">SUM(F14:F17)</x:f>
        <x:v>3125.665147995647</x:v>
      </x:c>
      <x:c r="G18" s="33" t="n">
        <x:f aca="0">SUM(G14:G17)</x:f>
        <x:v>3594.570727136004</x:v>
      </x:c>
      <x:c r="H18" s="33" t="n">
        <x:f aca="0">SUM(H14:H17)</x:f>
        <x:v>4061.0564766538914</x:v>
      </x:c>
      <x:c r="I18" s="33" t="n">
        <x:f aca="0">SUM(I14:I17)</x:f>
        <x:v>4530.9766672003125</x:v>
      </x:c>
      <x:c r="J18" s="33" t="n">
        <x:f aca="0">SUM(J14:J17)</x:f>
        <x:v>4945.197866269806</x:v>
      </x:c>
      <x:c r="L18" s="5" t="s">
        <x:v>160</x:v>
      </x:c>
      <x:c r="M18" s="36" t="n">
        <x:f aca="0">M7/((J11+J15)*(1+Inputs!$B$27))</x:f>
        <x:v>9.804610293428881</x:v>
      </x:c>
    </x:row>
    <x:row r="19" ht="15" hidden="0">
      <x:c r="A19" s="5" t="s">
        <x:v>161</x:v>
      </x:c>
      <x:c r="C19" s="26" t="n">
        <x:f aca="0">C18/C8</x:f>
        <x:v>0.3339064112504549</x:v>
      </x:c>
      <x:c r="D19" s="26" t="n">
        <x:f aca="0">D18/D8</x:f>
        <x:v>0.3487785207684501</x:v>
      </x:c>
      <x:c r="E19" s="26" t="n">
        <x:f aca="0">E18/E8</x:f>
        <x:v>0.36152518302930414</x:v>
      </x:c>
      <x:c r="F19" s="26" t="n">
        <x:f aca="0">F18/F8</x:f>
        <x:v>0.373971319968619</x:v>
      </x:c>
      <x:c r="G19" s="26" t="n">
        <x:f aca="0">G18/G8</x:f>
        <x:v>0.3825782162568936</x:v>
      </x:c>
      <x:c r="H19" s="26" t="n">
        <x:f aca="0">H18/H8</x:f>
        <x:v>0.39114794069156783</x:v>
      </x:c>
      <x:c r="I19" s="26" t="n">
        <x:f aca="0">I18/I8</x:f>
        <x:v>0.3994675501202253</x:v>
      </x:c>
      <x:c r="J19" s="26" t="n">
        <x:f aca="0">J18/J8</x:f>
        <x:v>0.4039228260707617</x:v>
      </x:c>
      <x:c r="L19" s="5" t="s">
        <x:v>162</x:v>
      </x:c>
      <x:c r="M19" s="36" t="n">
        <x:f aca="0">M9/D11</x:f>
        <x:v>16.38358658221899</x:v>
      </x:c>
    </x:row>
    <x:row r="20" ht="15" hidden="0">
      <x:c r="A20" s="5" t="s">
        <x:v>163</x:v>
      </x:c>
      <x:c r="C20" s="22" t="n">
        <x:f aca="0">Inputs!$B$13</x:f>
        <x:v>0.2054794520547945</x:v>
      </x:c>
      <x:c r="D20" s="37" t="n">
        <x:v>1</x:v>
      </x:c>
      <x:c r="E20" s="37" t="n">
        <x:v>1</x:v>
      </x:c>
      <x:c r="F20" s="37" t="n">
        <x:v>1</x:v>
      </x:c>
      <x:c r="G20" s="37" t="n">
        <x:v>1</x:v>
      </x:c>
      <x:c r="H20" s="37" t="n">
        <x:v>1</x:v>
      </x:c>
      <x:c r="I20" s="37" t="n">
        <x:v>1</x:v>
      </x:c>
      <x:c r="J20" s="37" t="n">
        <x:v>1</x:v>
      </x:c>
      <x:c r="L20" s="5" t="s">
        <x:v>164</x:v>
      </x:c>
      <x:c r="M20" s="36" t="n">
        <x:f aca="0">(Inputs!$B$12-Inputs!$B$10+Inputs!$B$11)/D11</x:f>
        <x:v>30.501598889902002</x:v>
      </x:c>
    </x:row>
    <x:row r="21" ht="15" hidden="0">
      <x:c r="A21" s="5" t="s">
        <x:v>165</x:v>
      </x:c>
      <x:c r="C21" s="22" t="n">
        <x:f aca="0">Inputs!$B$13/2</x:f>
        <x:v>0.10273972602739725</x:v>
      </x:c>
      <x:c r="D21" s="22" t="n">
        <x:f aca="0">Inputs!$B$13+1-0.5</x:f>
        <x:v>0.7054794520547945</x:v>
      </x:c>
      <x:c r="E21" s="22" t="n">
        <x:f aca="0">Inputs!$B$13+2-0.5</x:f>
        <x:v>1.7054794520547945</x:v>
      </x:c>
      <x:c r="F21" s="22" t="n">
        <x:f aca="0">Inputs!$B$13+3-0.5</x:f>
        <x:v>2.7054794520547945</x:v>
      </x:c>
      <x:c r="G21" s="22" t="n">
        <x:f aca="0">Inputs!$B$13+4-0.5</x:f>
        <x:v>3.705479452054795</x:v>
      </x:c>
      <x:c r="H21" s="22" t="n">
        <x:f aca="0">Inputs!$B$13+5-0.5</x:f>
        <x:v>4.705479452054795</x:v>
      </x:c>
      <x:c r="I21" s="22" t="n">
        <x:f aca="0">Inputs!$B$13+6-0.5</x:f>
        <x:v>5.705479452054795</x:v>
      </x:c>
      <x:c r="J21" s="22" t="n">
        <x:f aca="0">Inputs!$B$13+7-0.5</x:f>
        <x:v>6.705479452054795</x:v>
      </x:c>
    </x:row>
    <x:row r="22" ht="15" hidden="0">
      <x:c r="A22" s="5" t="s">
        <x:v>166</x:v>
      </x:c>
      <x:c r="C22" s="38" t="n">
        <x:f aca="0">1/(1+Inputs!$B$26)^C21</x:f>
        <x:v>0.988722280525439</x:v>
      </x:c>
      <x:c r="D22" s="38" t="n">
        <x:f aca="0">1/(1+Inputs!$B$26)^D21</x:f>
        <x:v>0.9250751266517575</x:v>
      </x:c>
      <x:c r="E22" s="38" t="n">
        <x:f aca="0">1/(1+Inputs!$B$26)^E21</x:f>
        <x:v>0.8283878638661537</x:v>
      </x:c>
      <x:c r="F22" s="38" t="n">
        <x:f aca="0">1/(1+Inputs!$B$26)^F21</x:f>
        <x:v>0.7418061876601052</x:v>
      </x:c>
      <x:c r="G22" s="38" t="n">
        <x:f aca="0">1/(1+Inputs!$B$26)^G21</x:f>
        <x:v>0.6642738794876041</x:v>
      </x:c>
      <x:c r="H22" s="38" t="n">
        <x:f aca="0">1/(1+Inputs!$B$26)^H21</x:f>
        <x:v>0.5948451149502905</x:v>
      </x:c>
      <x:c r="I22" s="38" t="n">
        <x:f aca="0">1/(1+Inputs!$B$26)^I21</x:f>
        <x:v>0.5326729255908175</x:v>
      </x:c>
      <x:c r="J22" s="38" t="n">
        <x:f aca="0">1/(1+Inputs!$B$26)^J21</x:f>
        <x:v>0.47699886663975055</x:v>
      </x:c>
    </x:row>
    <x:row r="23" ht="15" hidden="0">
      <x:c r="A23" s="32" t="s">
        <x:v>167</x:v>
      </x:c>
      <x:c r="B23" s="35"/>
      <x:c r="C23" s="33" t="n">
        <x:f aca="0">C18*C20*C22</x:f>
        <x:v>356.0913509613352</x:v>
      </x:c>
      <x:c r="D23" s="33" t="n">
        <x:f aca="0">D18*D20*D22</x:f>
        <x:v>2022.0847504320293</x:v>
      </x:c>
      <x:c r="E23" s="33" t="n">
        <x:f aca="0">E18*E20*E22</x:f>
        <x:v>2186.264736155467</x:v>
      </x:c>
      <x:c r="F23" s="33" t="n">
        <x:f aca="0">F18*F20*F22</x:f>
        <x:v>2318.6377473367097</x:v>
      </x:c>
      <x:c r="G23" s="33" t="n">
        <x:f aca="0">G18*G20*G22</x:f>
        <x:v>2387.779442007211</x:v>
      </x:c>
      <x:c r="H23" s="33" t="n">
        <x:f aca="0">H18*H20*H22</x:f>
        <x:v>2415.6996066748056</x:v>
      </x:c>
      <x:c r="I23" s="33" t="n">
        <x:f aca="0">I18*I20*I22</x:f>
        <x:v>2413.5285971013222</x:v>
      </x:c>
      <x:c r="J23" s="33" t="n">
        <x:f aca="0">J18*J20*J22</x:f>
        <x:v>2358.85377752001</x:v>
      </x:c>
    </x:row>
    <x:row r="26" ht="15" hidden="0">
      <x:c r="A26" s="3" t="s">
        <x:v>168</x:v>
      </x:c>
      <x:c r="B26" s="4" t="s">
        <x:v>138</x:v>
      </x:c>
      <x:c r="C26" s="4" t="s">
        <x:v>71</x:v>
      </x:c>
      <x:c r="D26" s="4" t="s">
        <x:v>72</x:v>
      </x:c>
      <x:c r="E26" s="4" t="s">
        <x:v>73</x:v>
      </x:c>
      <x:c r="F26" s="4" t="s">
        <x:v>74</x:v>
      </x:c>
      <x:c r="G26" s="4" t="s">
        <x:v>75</x:v>
      </x:c>
      <x:c r="H26" s="4" t="s">
        <x:v>76</x:v>
      </x:c>
      <x:c r="I26" s="4" t="s">
        <x:v>77</x:v>
      </x:c>
      <x:c r="J26" s="4" t="s">
        <x:v>78</x:v>
      </x:c>
      <x:c r="L26" s="30" t="s">
        <x:v>169</x:v>
      </x:c>
      <x:c r="M26" s="31"/>
    </x:row>
    <x:row r="27" ht="15" hidden="0">
      <x:c r="A27" s="5" t="s">
        <x:v>99</x:v>
      </x:c>
      <x:c r="B27" s="8" t="n">
        <x:f aca="0">Historicals!C5</x:f>
        <x:v>2628</x:v>
      </x:c>
      <x:c r="C27" s="21" t="n">
        <x:f aca="0">B27*(1+Inputs!C39)</x:f>
        <x:v>3022.2</x:v>
      </x:c>
      <x:c r="D27" s="21" t="n">
        <x:f aca="0">C27*(1+Inputs!D39)</x:f>
        <x:v>3112.866</x:v>
      </x:c>
      <x:c r="E27" s="21" t="n">
        <x:f aca="0">D27*(1+Inputs!E39)</x:f>
        <x:v>3299.63796</x:v>
      </x:c>
      <x:c r="F27" s="21" t="n">
        <x:f aca="0">E27*(1+Inputs!F39)</x:f>
        <x:v>3497.6162376</x:v>
      </x:c>
      <x:c r="G27" s="21" t="n">
        <x:f aca="0">F27*(1+Inputs!G39)</x:f>
        <x:v>3672.4970494800004</x:v>
      </x:c>
      <x:c r="H27" s="21" t="n">
        <x:f aca="0">G27*(1+Inputs!H39)</x:f>
        <x:v>3856.121901954001</x:v>
      </x:c>
      <x:c r="I27" s="21" t="n">
        <x:f aca="0">H27*(1+Inputs!I39)</x:f>
        <x:v>4010.366778032161</x:v>
      </x:c>
      <x:c r="J27" s="21" t="n">
        <x:f aca="0">I27*(1+Inputs!J39)</x:f>
        <x:v>4170.781449153448</x:v>
      </x:c>
      <x:c r="L27" s="5" t="s">
        <x:v>140</x:v>
      </x:c>
      <x:c r="M27" s="21" t="n">
        <x:f aca="0">SUM(C45:J45)</x:f>
        <x:v>10173.263649942957</x:v>
      </x:c>
    </x:row>
    <x:row r="28" ht="15" hidden="0">
      <x:c r="A28" s="5" t="s">
        <x:v>100</x:v>
      </x:c>
      <x:c r="B28" s="8" t="n">
        <x:f aca="0">Historicals!C6</x:f>
        <x:v>1514</x:v>
      </x:c>
      <x:c r="C28" s="21" t="n">
        <x:f aca="0">B28*(1+Inputs!C40)</x:f>
        <x:v>1604.8400000000001</x:v>
      </x:c>
      <x:c r="D28" s="21" t="n">
        <x:f aca="0">C28*(1+Inputs!D40)</x:f>
        <x:v>1604.8400000000001</x:v>
      </x:c>
      <x:c r="E28" s="21" t="n">
        <x:f aca="0">D28*(1+Inputs!E40)</x:f>
        <x:v>1669.0336000000002</x:v>
      </x:c>
      <x:c r="F28" s="21" t="n">
        <x:f aca="0">E28*(1+Inputs!F40)</x:f>
        <x:v>1752.4852800000003</x:v>
      </x:c>
      <x:c r="G28" s="21" t="n">
        <x:f aca="0">F28*(1+Inputs!G40)</x:f>
        <x:v>1840.1095440000004</x:v>
      </x:c>
      <x:c r="H28" s="21" t="n">
        <x:f aca="0">G28*(1+Inputs!H40)</x:f>
        <x:v>1913.7139257600004</x:v>
      </x:c>
      <x:c r="I28" s="21" t="n">
        <x:f aca="0">H28*(1+Inputs!I40)</x:f>
        <x:v>1990.2624827904006</x:v>
      </x:c>
      <x:c r="J28" s="21" t="n">
        <x:f aca="0">I28*(1+Inputs!J40)</x:f>
        <x:v>2049.9703572741128</x:v>
      </x:c>
      <x:c r="L28" s="5" t="s">
        <x:v>141</x:v>
      </x:c>
      <x:c r="M28" s="21" t="n">
        <x:f aca="0">J40</x:f>
        <x:v>2528.6363372638702</x:v>
      </x:c>
    </x:row>
    <x:row r="29" ht="15" hidden="0">
      <x:c r="A29" s="5" t="s">
        <x:v>101</x:v>
      </x:c>
      <x:c r="B29" s="8" t="n">
        <x:f aca="0">Historicals!C7</x:f>
        <x:v>331</x:v>
      </x:c>
      <x:c r="C29" s="21" t="n">
        <x:f aca="0">B29*(1+Inputs!C41)</x:f>
        <x:v>496.5</x:v>
      </x:c>
      <x:c r="D29" s="21" t="n">
        <x:f aca="0">C29*(1+Inputs!D41)</x:f>
        <x:v>620.625</x:v>
      </x:c>
      <x:c r="E29" s="21" t="n">
        <x:f aca="0">D29*(1+Inputs!E41)</x:f>
        <x:v>732.3375</x:v>
      </x:c>
      <x:c r="F29" s="21" t="n">
        <x:f aca="0">E29*(1+Inputs!F41)</x:f>
        <x:v>834.8647500000001</x:v>
      </x:c>
      <x:c r="G29" s="21" t="n">
        <x:f aca="0">F29*(1+Inputs!G41)</x:f>
        <x:v>926.6998725000002</x:v>
      </x:c>
      <x:c r="H29" s="21" t="n">
        <x:f aca="0">G29*(1+Inputs!H41)</x:f>
        <x:v>1010.1028610250003</x:v>
      </x:c>
      <x:c r="I29" s="21" t="n">
        <x:f aca="0">H29*(1+Inputs!I41)</x:f>
        <x:v>1080.8100612967503</x:v>
      </x:c>
      <x:c r="J29" s="21" t="n">
        <x:f aca="0">I29*(1+Inputs!J41)</x:f>
        <x:v>1145.6586649745554</x:v>
      </x:c>
      <x:c r="L29" s="5" t="s">
        <x:v>142</x:v>
      </x:c>
      <x:c r="M29" s="21" t="n">
        <x:f aca="0">M28*(1+Inputs!$B$27)/(Inputs!$B$26-Inputs!$B$27)</x:f>
        <x:v>34278.82600743269</x:v>
      </x:c>
    </x:row>
    <x:row r="30" ht="15" hidden="0">
      <x:c r="A30" s="9" t="s">
        <x:v>102</x:v>
      </x:c>
      <x:c r="B30" s="27" t="n">
        <x:f aca="0">SUM(B27:B29)</x:f>
        <x:v>4473</x:v>
      </x:c>
      <x:c r="C30" s="27" t="n">
        <x:f aca="0">SUM(C27:C29)</x:f>
        <x:v>5123.54</x:v>
      </x:c>
      <x:c r="D30" s="27" t="n">
        <x:f aca="0">SUM(D27:D29)</x:f>
        <x:v>5338.331</x:v>
      </x:c>
      <x:c r="E30" s="27" t="n">
        <x:f aca="0">SUM(E27:E29)</x:f>
        <x:v>5701.00906</x:v>
      </x:c>
      <x:c r="F30" s="27" t="n">
        <x:f aca="0">SUM(F27:F29)</x:f>
        <x:v>6084.9662676</x:v>
      </x:c>
      <x:c r="G30" s="27" t="n">
        <x:f aca="0">SUM(G27:G29)</x:f>
        <x:v>6439.306465980001</x:v>
      </x:c>
      <x:c r="H30" s="27" t="n">
        <x:f aca="0">SUM(H27:H29)</x:f>
        <x:v>6779.938688739002</x:v>
      </x:c>
      <x:c r="I30" s="27" t="n">
        <x:f aca="0">SUM(I27:I29)</x:f>
        <x:v>7081.439322119311</x:v>
      </x:c>
      <x:c r="J30" s="27" t="n">
        <x:f aca="0">SUM(J27:J29)</x:f>
        <x:v>7366.410471402116</x:v>
      </x:c>
      <x:c r="L30" s="5" t="s">
        <x:v>143</x:v>
      </x:c>
      <x:c r="M30" s="21" t="n">
        <x:f aca="0">M29/(1+Inputs!$B$26)^(Inputs!$B$13+7)</x:f>
        <x:v>15472.897505922836</x:v>
      </x:c>
    </x:row>
    <x:row r="31" ht="15" hidden="0">
      <x:c r="A31" s="5" t="s">
        <x:v>103</x:v>
      </x:c>
      <x:c r="C31" s="26" t="n">
        <x:f aca="0">C30/B30-1</x:f>
        <x:v>0.1454370668455176</x:v>
      </x:c>
      <x:c r="D31" s="26" t="n">
        <x:f aca="0">D30/C30-1</x:f>
        <x:v>0.04192238179071506</x:v>
      </x:c>
      <x:c r="E31" s="26" t="n">
        <x:f aca="0">E30/D30-1</x:f>
        <x:v>0.0679384736540316</x:v>
      </x:c>
      <x:c r="F31" s="26" t="n">
        <x:f aca="0">F30/E30-1</x:f>
        <x:v>0.06734899095213853</x:v>
      </x:c>
      <x:c r="G31" s="26" t="n">
        <x:f aca="0">G30/F30-1</x:f>
        <x:v>0.05823207275062803</x:v>
      </x:c>
      <x:c r="H31" s="26" t="n">
        <x:f aca="0">H30/G30-1</x:f>
        <x:v>0.05289889905980116</x:v>
      </x:c>
      <x:c r="I31" s="26" t="n">
        <x:f aca="0">I30/H30-1</x:f>
        <x:v>0.044469522103655734</x:v>
      </x:c>
      <x:c r="J31" s="26" t="n">
        <x:f aca="0">J30/I30-1</x:f>
        <x:v>0.04024198137131241</x:v>
      </x:c>
      <x:c r="L31" s="9" t="s">
        <x:v>144</x:v>
      </x:c>
      <x:c r="M31" s="27" t="n">
        <x:f aca="0">M27+M30</x:f>
        <x:v>25646.161155865793</x:v>
      </x:c>
    </x:row>
    <x:row r="32" ht="15" hidden="0">
      <x:c r="A32" s="5" t="s">
        <x:v>145</x:v>
      </x:c>
      <x:c r="B32" s="8" t="n">
        <x:f aca="0">Historicals!C17</x:f>
        <x:v>2379</x:v>
      </x:c>
      <x:c r="C32" s="21" t="n">
        <x:f aca="0">C30*Inputs!C42</x:f>
        <x:v>2946.0355</x:v>
      </x:c>
      <x:c r="D32" s="21" t="n">
        <x:f aca="0">D30*Inputs!D42</x:f>
        <x:v>3202.9986</x:v>
      </x:c>
      <x:c r="E32" s="21" t="n">
        <x:f aca="0">E30*Inputs!E42</x:f>
        <x:v>3363.5953454</x:v>
      </x:c>
      <x:c r="F32" s="21" t="n">
        <x:f aca="0">F30*Inputs!F42</x:f>
        <x:v>3529.2804352079997</x:v>
      </x:c>
      <x:c r="G32" s="21" t="n">
        <x:f aca="0">G30*Inputs!G42</x:f>
        <x:v>3670.4046856086</x:v>
      </x:c>
      <x:c r="H32" s="21" t="n">
        <x:f aca="0">H30*Inputs!H42</x:f>
        <x:v>3796.7656656938416</x:v>
      </x:c>
      <x:c r="I32" s="21" t="n">
        <x:f aca="0">I30*Inputs!I42</x:f>
        <x:v>3965.6060203868146</x:v>
      </x:c>
      <x:c r="J32" s="21" t="n">
        <x:f aca="0">J30*Inputs!J42</x:f>
        <x:v>4125.189863985185</x:v>
      </x:c>
      <x:c r="L32" s="5" t="s">
        <x:v>146</x:v>
      </x:c>
      <x:c r="M32" s="8" t="n">
        <x:f aca="0">Inputs!$B$10</x:f>
        <x:v>5362</x:v>
      </x:c>
    </x:row>
    <x:row r="33" ht="15" hidden="0">
      <x:c r="A33" s="32" t="s">
        <x:v>147</x:v>
      </x:c>
      <x:c r="B33" s="33" t="n">
        <x:f aca="0">B30-B32</x:f>
        <x:v>2094</x:v>
      </x:c>
      <x:c r="C33" s="33" t="n">
        <x:f aca="0">C30-C32</x:f>
        <x:v>2177.5045</x:v>
      </x:c>
      <x:c r="D33" s="33" t="n">
        <x:f aca="0">D30-D32</x:f>
        <x:v>2135.3324000000002</x:v>
      </x:c>
      <x:c r="E33" s="33" t="n">
        <x:f aca="0">E30-E32</x:f>
        <x:v>2337.4137146000003</x:v>
      </x:c>
      <x:c r="F33" s="33" t="n">
        <x:f aca="0">F30-F32</x:f>
        <x:v>2555.685832392</x:v>
      </x:c>
      <x:c r="G33" s="33" t="n">
        <x:f aca="0">G30-G32</x:f>
        <x:v>2768.901780371401</x:v>
      </x:c>
      <x:c r="H33" s="33" t="n">
        <x:f aca="0">H30-H32</x:f>
        <x:v>2983.1730230451603</x:v>
      </x:c>
      <x:c r="I33" s="33" t="n">
        <x:f aca="0">I30-I32</x:f>
        <x:v>3115.8333017324967</x:v>
      </x:c>
      <x:c r="J33" s="33" t="n">
        <x:f aca="0">J30-J32</x:f>
        <x:v>3241.2206074169308</x:v>
      </x:c>
      <x:c r="L33" s="5" t="s">
        <x:v>148</x:v>
      </x:c>
      <x:c r="M33" s="8" t="n">
        <x:f aca="0">-Inputs!$B$11</x:f>
        <x:v>-2170</x:v>
      </x:c>
    </x:row>
    <x:row r="34" ht="15" hidden="0">
      <x:c r="A34" s="5" t="s">
        <x:v>113</x:v>
      </x:c>
      <x:c r="B34" s="26" t="n">
        <x:f aca="0">B33/B30</x:f>
        <x:v>0.4681421864520456</x:v>
      </x:c>
      <x:c r="C34" s="26" t="n">
        <x:f aca="0">C33/C30</x:f>
        <x:v>0.425</x:v>
      </x:c>
      <x:c r="D34" s="26" t="n">
        <x:f aca="0">D33/D30</x:f>
        <x:v>0.4</x:v>
      </x:c>
      <x:c r="E34" s="26" t="n">
        <x:f aca="0">E33/E30</x:f>
        <x:v>0.41000000000000003</x:v>
      </x:c>
      <x:c r="F34" s="26" t="n">
        <x:f aca="0">F33/F30</x:f>
        <x:v>0.42000000000000004</x:v>
      </x:c>
      <x:c r="G34" s="26" t="n">
        <x:f aca="0">G33/G30</x:f>
        <x:v>0.43000000000000005</x:v>
      </x:c>
      <x:c r="H34" s="26" t="n">
        <x:f aca="0">H33/H30</x:f>
        <x:v>0.43999999999999995</x:v>
      </x:c>
      <x:c r="I34" s="26" t="n">
        <x:f aca="0">I33/I30</x:f>
        <x:v>0.43999999999999995</x:v>
      </x:c>
      <x:c r="J34" s="26" t="n">
        <x:f aca="0">J33/J30</x:f>
        <x:v>0.43999999999999995</x:v>
      </x:c>
      <x:c r="L34" s="9" t="s">
        <x:v>149</x:v>
      </x:c>
      <x:c r="M34" s="27" t="n">
        <x:f aca="0">SUM(M31:M33)</x:f>
        <x:v>28838.161155865793</x:v>
      </x:c>
    </x:row>
    <x:row r="35" ht="15" hidden="0">
      <x:c r="A35" s="5" t="s">
        <x:v>150</x:v>
      </x:c>
      <x:c r="C35" s="21" t="n">
        <x:f aca="0">-C33*Inputs!$B$22</x:f>
        <x:v>-479.05099</x:v>
      </x:c>
      <x:c r="D35" s="21" t="n">
        <x:f aca="0">-D33*Inputs!$B$22</x:f>
        <x:v>-469.77312800000004</x:v>
      </x:c>
      <x:c r="E35" s="21" t="n">
        <x:f aca="0">-E33*Inputs!$B$22</x:f>
        <x:v>-514.2310172120001</x:v>
      </x:c>
      <x:c r="F35" s="21" t="n">
        <x:f aca="0">-F33*Inputs!$B$22</x:f>
        <x:v>-562.2508831262401</x:v>
      </x:c>
      <x:c r="G35" s="21" t="n">
        <x:f aca="0">-G33*Inputs!$B$22</x:f>
        <x:v>-609.1583916817082</x:v>
      </x:c>
      <x:c r="H35" s="21" t="n">
        <x:f aca="0">-H33*Inputs!$B$22</x:f>
        <x:v>-656.2980650699353</x:v>
      </x:c>
      <x:c r="I35" s="21" t="n">
        <x:f aca="0">-I33*Inputs!$B$22</x:f>
        <x:v>-685.4833263811493</x:v>
      </x:c>
      <x:c r="J35" s="21" t="n">
        <x:f aca="0">-J33*Inputs!$B$22</x:f>
        <x:v>-713.0685336317248</x:v>
      </x:c>
      <x:c r="L35" s="5" t="s">
        <x:v>36</x:v>
      </x:c>
      <x:c r="M35" s="34" t="n">
        <x:f aca="0">Inputs!$B$9</x:f>
        <x:v>912</x:v>
      </x:c>
    </x:row>
    <x:row r="36" ht="15" hidden="0">
      <x:c r="A36" s="5" t="s">
        <x:v>151</x:v>
      </x:c>
      <x:c r="C36" s="21" t="n">
        <x:f aca="0">C33+C35</x:f>
        <x:v>1698.45351</x:v>
      </x:c>
      <x:c r="D36" s="21" t="n">
        <x:f aca="0">D33+D35</x:f>
        <x:v>1665.5592720000002</x:v>
      </x:c>
      <x:c r="E36" s="21" t="n">
        <x:f aca="0">E33+E35</x:f>
        <x:v>1823.1826973880002</x:v>
      </x:c>
      <x:c r="F36" s="21" t="n">
        <x:f aca="0">F33+F35</x:f>
        <x:v>1993.43494926576</x:v>
      </x:c>
      <x:c r="G36" s="21" t="n">
        <x:f aca="0">G33+G35</x:f>
        <x:v>2159.743388689693</x:v>
      </x:c>
      <x:c r="H36" s="21" t="n">
        <x:f aca="0">H33+H35</x:f>
        <x:v>2326.874957975225</x:v>
      </x:c>
      <x:c r="I36" s="21" t="n">
        <x:f aca="0">I33+I35</x:f>
        <x:v>2430.3499753513474</x:v>
      </x:c>
      <x:c r="J36" s="21" t="n">
        <x:f aca="0">J33+J35</x:f>
        <x:v>2528.152073785206</x:v>
      </x:c>
      <x:c r="L36" s="9" t="s">
        <x:v>152</x:v>
      </x:c>
      <x:c r="M36" s="11" t="n">
        <x:f aca="0">M34/M35</x:f>
        <x:v>31.620790741080913</x:v>
      </x:c>
    </x:row>
    <x:row r="37" ht="15" hidden="0">
      <x:c r="A37" s="5" t="s">
        <x:v>153</x:v>
      </x:c>
      <x:c r="C37" s="21" t="n">
        <x:f aca="0">C30*Inputs!$B$31</x:f>
        <x:v>87.10018000000001</x:v>
      </x:c>
      <x:c r="D37" s="21" t="n">
        <x:f aca="0">D30*Inputs!$B$31</x:f>
        <x:v>90.75162700000001</x:v>
      </x:c>
      <x:c r="E37" s="21" t="n">
        <x:f aca="0">E30*Inputs!$B$31</x:f>
        <x:v>96.91715402000001</x:v>
      </x:c>
      <x:c r="F37" s="21" t="n">
        <x:f aca="0">F30*Inputs!$B$31</x:f>
        <x:v>103.4444265492</x:v>
      </x:c>
      <x:c r="G37" s="21" t="n">
        <x:f aca="0">G30*Inputs!$B$31</x:f>
        <x:v>109.46820992166003</x:v>
      </x:c>
      <x:c r="H37" s="21" t="n">
        <x:f aca="0">H30*Inputs!$B$31</x:f>
        <x:v>115.25895770856305</x:v>
      </x:c>
      <x:c r="I37" s="21" t="n">
        <x:f aca="0">I30*Inputs!$B$31</x:f>
        <x:v>120.3844684760283</x:v>
      </x:c>
      <x:c r="J37" s="21" t="n">
        <x:f aca="0">J30*Inputs!$B$31</x:f>
        <x:v>125.22897801383598</x:v>
      </x:c>
      <x:c r="L37" s="5" t="s">
        <x:v>154</x:v>
      </x:c>
      <x:c r="M37" s="6" t="n">
        <x:f aca="0">Inputs!$B$6</x:f>
        <x:v>98.87</x:v>
      </x:c>
    </x:row>
    <x:row r="38" ht="15" hidden="0">
      <x:c r="A38" s="5" t="s">
        <x:v>155</x:v>
      </x:c>
      <x:c r="C38" s="21" t="n">
        <x:f aca="0">-C30*Inputs!$B$32</x:f>
        <x:v>-76.8531</x:v>
      </x:c>
      <x:c r="D38" s="21" t="n">
        <x:f aca="0">-D30*Inputs!$B$32</x:f>
        <x:v>-80.074965</x:v>
      </x:c>
      <x:c r="E38" s="21" t="n">
        <x:f aca="0">-E30*Inputs!$B$32</x:f>
        <x:v>-85.5151359</x:v>
      </x:c>
      <x:c r="F38" s="21" t="n">
        <x:f aca="0">-F30*Inputs!$B$32</x:f>
        <x:v>-91.274494014</x:v>
      </x:c>
      <x:c r="G38" s="21" t="n">
        <x:f aca="0">-G30*Inputs!$B$32</x:f>
        <x:v>-96.58959698970001</x:v>
      </x:c>
      <x:c r="H38" s="21" t="n">
        <x:f aca="0">-H30*Inputs!$B$32</x:f>
        <x:v>-101.69908033108503</x:v>
      </x:c>
      <x:c r="I38" s="21" t="n">
        <x:f aca="0">-I30*Inputs!$B$32</x:f>
        <x:v>-106.22158983178967</x:v>
      </x:c>
      <x:c r="J38" s="21" t="n">
        <x:f aca="0">-J30*Inputs!$B$32</x:f>
        <x:v>-110.49615707103173</x:v>
      </x:c>
      <x:c r="L38" s="5" t="s">
        <x:v>156</x:v>
      </x:c>
      <x:c r="M38" s="26" t="n">
        <x:f aca="0">M36/M37-1</x:f>
        <x:v>-0.6801781051776989</x:v>
      </x:c>
    </x:row>
    <x:row r="39" ht="15" hidden="0">
      <x:c r="A39" s="5" t="s">
        <x:v>157</x:v>
      </x:c>
      <x:c r="C39" s="21" t="n">
        <x:f aca="0">-(C30-B30)*Inputs!$B$33</x:f>
        <x:v>-32.527</x:v>
      </x:c>
      <x:c r="D39" s="21" t="n">
        <x:f aca="0">-(D30-C30)*Inputs!$B$33</x:f>
        <x:v>-10.739550000000008</x:v>
      </x:c>
      <x:c r="E39" s="21" t="n">
        <x:f aca="0">-(E30-D30)*Inputs!$B$33</x:f>
        <x:v>-18.13390300000001</x:v>
      </x:c>
      <x:c r="F39" s="21" t="n">
        <x:f aca="0">-(F30-E30)*Inputs!$B$33</x:f>
        <x:v>-19.197860379999977</x:v>
      </x:c>
      <x:c r="G39" s="21" t="n">
        <x:f aca="0">-(G30-F30)*Inputs!$B$33</x:f>
        <x:v>-17.717009919000066</x:v>
      </x:c>
      <x:c r="H39" s="21" t="n">
        <x:f aca="0">-(H30-G30)*Inputs!$B$33</x:f>
        <x:v>-17.03161113795004</x:v>
      </x:c>
      <x:c r="I39" s="21" t="n">
        <x:f aca="0">-(I30-H30)*Inputs!$B$33</x:f>
        <x:v>-15.075031669015472</x:v>
      </x:c>
      <x:c r="J39" s="21" t="n">
        <x:f aca="0">-(J30-I30)*Inputs!$B$33</x:f>
        <x:v>-14.248557464140232</x:v>
      </x:c>
      <x:c r="L39" s="5" t="s">
        <x:v>158</x:v>
      </x:c>
      <x:c r="M39" s="26" t="n">
        <x:f aca="0">M30/M31</x:f>
        <x:v>0.6033221663033913</x:v>
      </x:c>
    </x:row>
    <x:row r="40" ht="15" hidden="0">
      <x:c r="A40" s="32" t="s">
        <x:v>159</x:v>
      </x:c>
      <x:c r="B40" s="35"/>
      <x:c r="C40" s="33" t="n">
        <x:f aca="0">SUM(C36:C39)</x:f>
        <x:v>1676.1735899999999</x:v>
      </x:c>
      <x:c r="D40" s="33" t="n">
        <x:f aca="0">SUM(D36:D39)</x:f>
        <x:v>1665.4963840000003</x:v>
      </x:c>
      <x:c r="E40" s="33" t="n">
        <x:f aca="0">SUM(E36:E39)</x:f>
        <x:v>1816.4508125080004</x:v>
      </x:c>
      <x:c r="F40" s="33" t="n">
        <x:f aca="0">SUM(F36:F39)</x:f>
        <x:v>1986.4070214209598</x:v>
      </x:c>
      <x:c r="G40" s="33" t="n">
        <x:f aca="0">SUM(G36:G39)</x:f>
        <x:v>2154.9049917026528</x:v>
      </x:c>
      <x:c r="H40" s="33" t="n">
        <x:f aca="0">SUM(H36:H39)</x:f>
        <x:v>2323.4032242147528</x:v>
      </x:c>
      <x:c r="I40" s="33" t="n">
        <x:f aca="0">SUM(I36:I39)</x:f>
        <x:v>2429.4378223265708</x:v>
      </x:c>
      <x:c r="J40" s="33" t="n">
        <x:f aca="0">SUM(J36:J39)</x:f>
        <x:v>2528.6363372638702</x:v>
      </x:c>
      <x:c r="L40" s="5" t="s">
        <x:v>160</x:v>
      </x:c>
      <x:c r="M40" s="36" t="n">
        <x:f aca="0">M29/((J33+J37)*(1+Inputs!$B$27))</x:f>
        <x:v>9.790851989935224</x:v>
      </x:c>
    </x:row>
    <x:row r="41" ht="15" hidden="0">
      <x:c r="A41" s="5" t="s">
        <x:v>161</x:v>
      </x:c>
      <x:c r="C41" s="26" t="n">
        <x:f aca="0">C40/C30</x:f>
        <x:v>0.32715145973291904</x:v>
      </x:c>
      <x:c r="D41" s="26" t="n">
        <x:f aca="0">D40/D30</x:f>
        <x:v>0.3119882195390283</x:v>
      </x:c>
      <x:c r="E41" s="26" t="n">
        <x:f aca="0">E40/E30</x:f>
        <x:v>0.31861917660379935</x:v>
      </x:c>
      <x:c r="F41" s="26" t="n">
        <x:f aca="0">F40/F30</x:f>
        <x:v>0.3264450342145328</x:v>
      </x:c>
      <x:c r="G41" s="26" t="n">
        <x:f aca="0">G40/G30</x:f>
        <x:v>0.33464861520218026</x:v>
      </x:c>
      <x:c r="H41" s="26" t="n">
        <x:f aca="0">H40/H30</x:f>
        <x:v>0.3426879402425513</x:v>
      </x:c>
      <x:c r="I41" s="26" t="n">
        <x:f aca="0">I40/I30</x:f>
        <x:v>0.343071191013114</x:v>
      </x:c>
      <x:c r="J41" s="26" t="n">
        <x:f aca="0">J40/J30</x:f>
        <x:v>0.34326573941006194</x:v>
      </x:c>
      <x:c r="L41" s="5" t="s">
        <x:v>162</x:v>
      </x:c>
      <x:c r="M41" s="36" t="n">
        <x:f aca="0">M31/D33</x:f>
        <x:v>12.010383561765742</x:v>
      </x:c>
    </x:row>
    <x:row r="42" ht="15" hidden="0">
      <x:c r="A42" s="5" t="s">
        <x:v>163</x:v>
      </x:c>
      <x:c r="C42" s="22" t="n">
        <x:f aca="0">Inputs!$B$13</x:f>
        <x:v>0.2054794520547945</x:v>
      </x:c>
      <x:c r="D42" s="37" t="n">
        <x:v>1</x:v>
      </x:c>
      <x:c r="E42" s="37" t="n">
        <x:v>1</x:v>
      </x:c>
      <x:c r="F42" s="37" t="n">
        <x:v>1</x:v>
      </x:c>
      <x:c r="G42" s="37" t="n">
        <x:v>1</x:v>
      </x:c>
      <x:c r="H42" s="37" t="n">
        <x:v>1</x:v>
      </x:c>
      <x:c r="I42" s="37" t="n">
        <x:v>1</x:v>
      </x:c>
      <x:c r="J42" s="37" t="n">
        <x:v>1</x:v>
      </x:c>
      <x:c r="L42" s="5" t="s">
        <x:v>164</x:v>
      </x:c>
      <x:c r="M42" s="36" t="n">
        <x:f aca="0">(Inputs!$B$12-Inputs!$B$10+Inputs!$B$11)/D33</x:f>
        <x:v>40.73250609600641</x:v>
      </x:c>
    </x:row>
    <x:row r="43" ht="15" hidden="0">
      <x:c r="A43" s="5" t="s">
        <x:v>165</x:v>
      </x:c>
      <x:c r="C43" s="22" t="n">
        <x:f aca="0">Inputs!$B$13/2</x:f>
        <x:v>0.10273972602739725</x:v>
      </x:c>
      <x:c r="D43" s="22" t="n">
        <x:f aca="0">Inputs!$B$13+1-0.5</x:f>
        <x:v>0.7054794520547945</x:v>
      </x:c>
      <x:c r="E43" s="22" t="n">
        <x:f aca="0">Inputs!$B$13+2-0.5</x:f>
        <x:v>1.7054794520547945</x:v>
      </x:c>
      <x:c r="F43" s="22" t="n">
        <x:f aca="0">Inputs!$B$13+3-0.5</x:f>
        <x:v>2.7054794520547945</x:v>
      </x:c>
      <x:c r="G43" s="22" t="n">
        <x:f aca="0">Inputs!$B$13+4-0.5</x:f>
        <x:v>3.705479452054795</x:v>
      </x:c>
      <x:c r="H43" s="22" t="n">
        <x:f aca="0">Inputs!$B$13+5-0.5</x:f>
        <x:v>4.705479452054795</x:v>
      </x:c>
      <x:c r="I43" s="22" t="n">
        <x:f aca="0">Inputs!$B$13+6-0.5</x:f>
        <x:v>5.705479452054795</x:v>
      </x:c>
      <x:c r="J43" s="22" t="n">
        <x:f aca="0">Inputs!$B$13+7-0.5</x:f>
        <x:v>6.705479452054795</x:v>
      </x:c>
    </x:row>
    <x:row r="44" ht="15" hidden="0">
      <x:c r="A44" s="5" t="s">
        <x:v>166</x:v>
      </x:c>
      <x:c r="C44" s="38" t="n">
        <x:f aca="0">1/(1+Inputs!$B$26)^C43</x:f>
        <x:v>0.988722280525439</x:v>
      </x:c>
      <x:c r="D44" s="38" t="n">
        <x:f aca="0">1/(1+Inputs!$B$26)^D43</x:f>
        <x:v>0.9250751266517575</x:v>
      </x:c>
      <x:c r="E44" s="38" t="n">
        <x:f aca="0">1/(1+Inputs!$B$26)^E43</x:f>
        <x:v>0.8283878638661537</x:v>
      </x:c>
      <x:c r="F44" s="38" t="n">
        <x:f aca="0">1/(1+Inputs!$B$26)^F43</x:f>
        <x:v>0.7418061876601052</x:v>
      </x:c>
      <x:c r="G44" s="38" t="n">
        <x:f aca="0">1/(1+Inputs!$B$26)^G43</x:f>
        <x:v>0.6642738794876041</x:v>
      </x:c>
      <x:c r="H44" s="38" t="n">
        <x:f aca="0">1/(1+Inputs!$B$26)^H43</x:f>
        <x:v>0.5948451149502905</x:v>
      </x:c>
      <x:c r="I44" s="38" t="n">
        <x:f aca="0">1/(1+Inputs!$B$26)^I43</x:f>
        <x:v>0.5326729255908175</x:v>
      </x:c>
      <x:c r="J44" s="38" t="n">
        <x:f aca="0">1/(1+Inputs!$B$26)^J43</x:f>
        <x:v>0.47699886663975055</x:v>
      </x:c>
    </x:row>
    <x:row r="45" ht="15" hidden="0">
      <x:c r="A45" s="32" t="s">
        <x:v>167</x:v>
      </x:c>
      <x:c r="B45" s="35"/>
      <x:c r="C45" s="33" t="n">
        <x:f aca="0">C40*C42*C44</x:f>
        <x:v>340.5349673550641</x:v>
      </x:c>
      <x:c r="D45" s="33" t="n">
        <x:f aca="0">D40*D42*D44</x:f>
        <x:v>1540.7092783668445</x:v>
      </x:c>
      <x:c r="E45" s="33" t="n">
        <x:f aca="0">E40*E42*E44</x:f>
        <x:v>1504.7258083914417</x:v>
      </x:c>
      <x:c r="F45" s="33" t="n">
        <x:f aca="0">F40*F42*F44</x:f>
        <x:v>1473.5290197015472</x:v>
      </x:c>
      <x:c r="G45" s="33" t="n">
        <x:f aca="0">G40*G42*G44</x:f>
        <x:v>1431.4470987655245</x:v>
      </x:c>
      <x:c r="H45" s="33" t="n">
        <x:f aca="0">H40*H42*H44</x:f>
        <x:v>1382.0650579839</x:v>
      </x:c>
      <x:c r="I45" s="33" t="n">
        <x:f aca="0">I40*I42*I44</x:f>
        <x:v>1294.095752359679</x:v>
      </x:c>
      <x:c r="J45" s="33" t="n">
        <x:f aca="0">J40*J42*J44</x:f>
        <x:v>1206.156667018956</x:v>
      </x:c>
    </x:row>
    <x:row r="48" ht="15" hidden="0">
      <x:c r="A48" s="3" t="s">
        <x:v>170</x:v>
      </x:c>
      <x:c r="B48" s="4" t="s">
        <x:v>138</x:v>
      </x:c>
      <x:c r="C48" s="4" t="s">
        <x:v>71</x:v>
      </x:c>
      <x:c r="D48" s="4" t="s">
        <x:v>72</x:v>
      </x:c>
      <x:c r="E48" s="4" t="s">
        <x:v>73</x:v>
      </x:c>
      <x:c r="F48" s="4" t="s">
        <x:v>74</x:v>
      </x:c>
      <x:c r="G48" s="4" t="s">
        <x:v>75</x:v>
      </x:c>
      <x:c r="H48" s="4" t="s">
        <x:v>76</x:v>
      </x:c>
      <x:c r="I48" s="4" t="s">
        <x:v>77</x:v>
      </x:c>
      <x:c r="J48" s="4" t="s">
        <x:v>78</x:v>
      </x:c>
      <x:c r="L48" s="30" t="s">
        <x:v>171</x:v>
      </x:c>
      <x:c r="M48" s="31"/>
    </x:row>
    <x:row r="49" ht="15" hidden="0">
      <x:c r="A49" s="5" t="s">
        <x:v>99</x:v>
      </x:c>
      <x:c r="B49" s="8" t="n">
        <x:f aca="0">Historicals!C5</x:f>
        <x:v>2628</x:v>
      </x:c>
      <x:c r="C49" s="21" t="n">
        <x:f aca="0">B49*(1+Inputs!C51)</x:f>
        <x:v>3101.04</x:v>
      </x:c>
      <x:c r="D49" s="21" t="n">
        <x:f aca="0">C49*(1+Inputs!D51)</x:f>
        <x:v>3969.3312</x:v>
      </x:c>
      <x:c r="E49" s="21" t="n">
        <x:f aca="0">D49*(1+Inputs!E51)</x:f>
        <x:v>4921.970688</x:v>
      </x:c>
      <x:c r="F49" s="21" t="n">
        <x:f aca="0">E49*(1+Inputs!F51)</x:f>
        <x:v>5906.364825600001</x:v>
      </x:c>
      <x:c r="G49" s="21" t="n">
        <x:f aca="0">F49*(1+Inputs!G51)</x:f>
        <x:v>6910.446845952</x:v>
      </x:c>
      <x:c r="H49" s="21" t="n">
        <x:f aca="0">G49*(1+Inputs!H51)</x:f>
        <x:v>7947.0138728448</x:v>
      </x:c>
      <x:c r="I49" s="21" t="n">
        <x:f aca="0">H49*(1+Inputs!I51)</x:f>
        <x:v>8980.125676314623</x:v>
      </x:c>
      <x:c r="J49" s="21" t="n">
        <x:f aca="0">I49*(1+Inputs!J51)</x:f>
        <x:v>9967.939500709232</x:v>
      </x:c>
      <x:c r="L49" s="5" t="s">
        <x:v>140</x:v>
      </x:c>
      <x:c r="M49" s="21" t="n">
        <x:f aca="0">SUM(C67:J67)</x:f>
        <x:v>23379.584983216773</x:v>
      </x:c>
    </x:row>
    <x:row r="50" ht="15" hidden="0">
      <x:c r="A50" s="5" t="s">
        <x:v>100</x:v>
      </x:c>
      <x:c r="B50" s="8" t="n">
        <x:f aca="0">Historicals!C6</x:f>
        <x:v>1514</x:v>
      </x:c>
      <x:c r="C50" s="21" t="n">
        <x:f aca="0">B50*(1+Inputs!C52)</x:f>
        <x:v>1635.1200000000001</x:v>
      </x:c>
      <x:c r="D50" s="21" t="n">
        <x:f aca="0">C50*(1+Inputs!D52)</x:f>
        <x:v>1962.144</x:v>
      </x:c>
      <x:c r="E50" s="21" t="n">
        <x:f aca="0">D50*(1+Inputs!E52)</x:f>
        <x:v>2315.3299199999997</x:v>
      </x:c>
      <x:c r="F50" s="21" t="n">
        <x:f aca="0">E50*(1+Inputs!F52)</x:f>
        <x:v>2662.6294079999993</x:v>
      </x:c>
      <x:c r="G50" s="21" t="n">
        <x:f aca="0">F50*(1+Inputs!G52)</x:f>
        <x:v>3008.771231039999</x:v>
      </x:c>
      <x:c r="H50" s="21" t="n">
        <x:f aca="0">G50*(1+Inputs!H52)</x:f>
        <x:v>3339.736066454399</x:v>
      </x:c>
      <x:c r="I50" s="21" t="n">
        <x:f aca="0">H50*(1+Inputs!I52)</x:f>
        <x:v>3673.709673099839</x:v>
      </x:c>
      <x:c r="J50" s="21" t="n">
        <x:f aca="0">I50*(1+Inputs!J52)</x:f>
        <x:v>4004.343543678825</x:v>
      </x:c>
      <x:c r="L50" s="5" t="s">
        <x:v>141</x:v>
      </x:c>
      <x:c r="M50" s="21" t="n">
        <x:f aca="0">J62</x:f>
        <x:v>8097.985891874316</x:v>
      </x:c>
    </x:row>
    <x:row r="51" ht="15" hidden="0">
      <x:c r="A51" s="5" t="s">
        <x:v>101</x:v>
      </x:c>
      <x:c r="B51" s="8" t="n">
        <x:f aca="0">Historicals!C7</x:f>
        <x:v>331</x:v>
      </x:c>
      <x:c r="C51" s="21" t="n">
        <x:f aca="0">B51*(1+Inputs!C53)</x:f>
        <x:v>513.0500000000001</x:v>
      </x:c>
      <x:c r="D51" s="21" t="n">
        <x:f aca="0">C51*(1+Inputs!D53)</x:f>
        <x:v>820.8800000000001</x:v>
      </x:c>
      <x:c r="E51" s="21" t="n">
        <x:f aca="0">D51*(1+Inputs!E53)</x:f>
        <x:v>1231.3200000000002</x:v>
      </x:c>
      <x:c r="F51" s="21" t="n">
        <x:f aca="0">E51*(1+Inputs!F53)</x:f>
        <x:v>1723.8480000000002</x:v>
      </x:c>
      <x:c r="G51" s="21" t="n">
        <x:f aca="0">F51*(1+Inputs!G53)</x:f>
        <x:v>2275.4793600000003</x:v>
      </x:c>
      <x:c r="H51" s="21" t="n">
        <x:f aca="0">G51*(1+Inputs!H53)</x:f>
        <x:v>2867.1039936</x:v>
      </x:c>
      <x:c r="I51" s="21" t="n">
        <x:f aca="0">H51*(1+Inputs!I53)</x:f>
        <x:v>3469.1958322560004</x:v>
      </x:c>
      <x:c r="J51" s="21" t="n">
        <x:f aca="0">I51*(1+Inputs!J53)</x:f>
        <x:v>4058.9591237395202</x:v>
      </x:c>
      <x:c r="L51" s="5" t="s">
        <x:v>142</x:v>
      </x:c>
      <x:c r="M51" s="21" t="n">
        <x:f aca="0">M50*(1+Inputs!$B$27)/(Inputs!$B$26-Inputs!$B$27)</x:f>
        <x:v>109778.32015914634</x:v>
      </x:c>
    </x:row>
    <x:row r="52" ht="15" hidden="0">
      <x:c r="A52" s="9" t="s">
        <x:v>102</x:v>
      </x:c>
      <x:c r="B52" s="27" t="n">
        <x:f aca="0">SUM(B49:B51)</x:f>
        <x:v>4473</x:v>
      </x:c>
      <x:c r="C52" s="27" t="n">
        <x:f aca="0">SUM(C49:C51)</x:f>
        <x:v>5249.21</x:v>
      </x:c>
      <x:c r="D52" s="27" t="n">
        <x:f aca="0">SUM(D49:D51)</x:f>
        <x:v>6752.3552</x:v>
      </x:c>
      <x:c r="E52" s="27" t="n">
        <x:f aca="0">SUM(E49:E51)</x:f>
        <x:v>8468.620608</x:v>
      </x:c>
      <x:c r="F52" s="27" t="n">
        <x:f aca="0">SUM(F49:F51)</x:f>
        <x:v>10292.8422336</x:v>
      </x:c>
      <x:c r="G52" s="27" t="n">
        <x:f aca="0">SUM(G49:G51)</x:f>
        <x:v>12194.697436991999</x:v>
      </x:c>
      <x:c r="H52" s="27" t="n">
        <x:f aca="0">SUM(H49:H51)</x:f>
        <x:v>14153.8539328992</x:v>
      </x:c>
      <x:c r="I52" s="27" t="n">
        <x:f aca="0">SUM(I49:I51)</x:f>
        <x:v>16123.031181670462</x:v>
      </x:c>
      <x:c r="J52" s="27" t="n">
        <x:f aca="0">SUM(J49:J51)</x:f>
        <x:v>18031.242168127577</x:v>
      </x:c>
      <x:c r="L52" s="5" t="s">
        <x:v>143</x:v>
      </x:c>
      <x:c r="M52" s="21" t="n">
        <x:f aca="0">M51/(1+Inputs!$B$26)^(Inputs!$B$13+7)</x:f>
        <x:v>49552.125729934516</x:v>
      </x:c>
    </x:row>
    <x:row r="53" ht="15" hidden="0">
      <x:c r="A53" s="5" t="s">
        <x:v>103</x:v>
      </x:c>
      <x:c r="C53" s="26" t="n">
        <x:f aca="0">C52/B52-1</x:f>
        <x:v>0.17353230494075556</x:v>
      </x:c>
      <x:c r="D53" s="26" t="n">
        <x:f aca="0">D52/C52-1</x:f>
        <x:v>0.28635646125797987</x:v>
      </x:c>
      <x:c r="E53" s="26" t="n">
        <x:f aca="0">E52/D52-1</x:f>
        <x:v>0.25417285630945474</x:v>
      </x:c>
      <x:c r="F53" s="26" t="n">
        <x:f aca="0">F52/E52-1</x:f>
        <x:v>0.21540953480390002</x:v>
      </x:c>
      <x:c r="G53" s="26" t="n">
        <x:f aca="0">G52/F52-1</x:f>
        <x:v>0.1847745413976689</x:v>
      </x:c>
      <x:c r="H53" s="26" t="n">
        <x:f aca="0">H52/G52-1</x:f>
        <x:v>0.16065642514132406</x:v>
      </x:c>
      <x:c r="I53" s="26" t="n">
        <x:f aca="0">I52/H52-1</x:f>
        <x:v>0.13912657698085384</x:v>
      </x:c>
      <x:c r="J53" s="26" t="n">
        <x:f aca="0">J52/I52-1</x:f>
        <x:v>0.1183531164181133</x:v>
      </x:c>
      <x:c r="L53" s="9" t="s">
        <x:v>144</x:v>
      </x:c>
      <x:c r="M53" s="27" t="n">
        <x:f aca="0">M49+M52</x:f>
        <x:v>72931.71071315129</x:v>
      </x:c>
    </x:row>
    <x:row r="54" ht="15" hidden="0">
      <x:c r="A54" s="5" t="s">
        <x:v>145</x:v>
      </x:c>
      <x:c r="B54" s="8" t="n">
        <x:f aca="0">Historicals!C17</x:f>
        <x:v>2379</x:v>
      </x:c>
      <x:c r="C54" s="21" t="n">
        <x:f aca="0">C52*Inputs!C54</x:f>
        <x:v>2965.80365</x:v>
      </x:c>
      <x:c r="D54" s="21" t="n">
        <x:f aca="0">D52*Inputs!D54</x:f>
        <x:v>3511.224704</x:v>
      </x:c>
      <x:c r="E54" s="21" t="n">
        <x:f aca="0">E52*Inputs!E54</x:f>
        <x:v>4149.624097919999</x:v>
      </x:c>
      <x:c r="F54" s="21" t="n">
        <x:f aca="0">F52*Inputs!F54</x:f>
        <x:v>4786.1716386240005</x:v>
      </x:c>
      <x:c r="G54" s="21" t="n">
        <x:f aca="0">G52*Inputs!G54</x:f>
        <x:v>5426.640359461439</x:v>
      </x:c>
      <x:c r="H54" s="21" t="n">
        <x:f aca="0">H52*Inputs!H54</x:f>
        <x:v>6086.157191146655</x:v>
      </x:c>
      <x:c r="I54" s="21" t="n">
        <x:f aca="0">I52*Inputs!I54</x:f>
        <x:v>6771.673096301593</x:v>
      </x:c>
      <x:c r="J54" s="21" t="n">
        <x:f aca="0">J52*Inputs!J54</x:f>
        <x:v>7573.121710613582</x:v>
      </x:c>
      <x:c r="L54" s="5" t="s">
        <x:v>146</x:v>
      </x:c>
      <x:c r="M54" s="8" t="n">
        <x:f aca="0">Inputs!$B$10</x:f>
        <x:v>5362</x:v>
      </x:c>
    </x:row>
    <x:row r="55" ht="15" hidden="0">
      <x:c r="A55" s="32" t="s">
        <x:v>147</x:v>
      </x:c>
      <x:c r="B55" s="33" t="n">
        <x:f aca="0">B52-B54</x:f>
        <x:v>2094</x:v>
      </x:c>
      <x:c r="C55" s="33" t="n">
        <x:f aca="0">C52-C54</x:f>
        <x:v>2283.40635</x:v>
      </x:c>
      <x:c r="D55" s="33" t="n">
        <x:f aca="0">D52-D54</x:f>
        <x:v>3241.1304959999998</x:v>
      </x:c>
      <x:c r="E55" s="33" t="n">
        <x:f aca="0">E52-E54</x:f>
        <x:v>4318.99651008</x:v>
      </x:c>
      <x:c r="F55" s="33" t="n">
        <x:f aca="0">F52-F54</x:f>
        <x:v>5506.670594976</x:v>
      </x:c>
      <x:c r="G55" s="33" t="n">
        <x:f aca="0">G52-G54</x:f>
        <x:v>6768.05707753056</x:v>
      </x:c>
      <x:c r="H55" s="33" t="n">
        <x:f aca="0">H52-H54</x:f>
        <x:v>8067.696741752544</x:v>
      </x:c>
      <x:c r="I55" s="33" t="n">
        <x:f aca="0">I52-I54</x:f>
        <x:v>9351.358085368869</x:v>
      </x:c>
      <x:c r="J55" s="33" t="n">
        <x:f aca="0">J52-J54</x:f>
        <x:v>10458.120457513996</x:v>
      </x:c>
      <x:c r="L55" s="5" t="s">
        <x:v>148</x:v>
      </x:c>
      <x:c r="M55" s="8" t="n">
        <x:f aca="0">-Inputs!$B$11</x:f>
        <x:v>-2170</x:v>
      </x:c>
    </x:row>
    <x:row r="56" ht="15" hidden="0">
      <x:c r="A56" s="5" t="s">
        <x:v>113</x:v>
      </x:c>
      <x:c r="B56" s="26" t="n">
        <x:f aca="0">B55/B52</x:f>
        <x:v>0.4681421864520456</x:v>
      </x:c>
      <x:c r="C56" s="26" t="n">
        <x:f aca="0">C55/C52</x:f>
        <x:v>0.43500000000000005</x:v>
      </x:c>
      <x:c r="D56" s="26" t="n">
        <x:f aca="0">D55/D52</x:f>
        <x:v>0.48</x:v>
      </x:c>
      <x:c r="E56" s="26" t="n">
        <x:f aca="0">E55/E52</x:f>
        <x:v>0.51</x:v>
      </x:c>
      <x:c r="F56" s="26" t="n">
        <x:f aca="0">F55/F52</x:f>
        <x:v>0.5349999999999999</x:v>
      </x:c>
      <x:c r="G56" s="26" t="n">
        <x:f aca="0">G55/G52</x:f>
        <x:v>0.555</x:v>
      </x:c>
      <x:c r="H56" s="26" t="n">
        <x:f aca="0">H55/H52</x:f>
        <x:v>0.5700000000000001</x:v>
      </x:c>
      <x:c r="I56" s="26" t="n">
        <x:f aca="0">I55/I52</x:f>
        <x:v>0.5800000000000001</x:v>
      </x:c>
      <x:c r="J56" s="26" t="n">
        <x:f aca="0">J55/J52</x:f>
        <x:v>0.5800000000000001</x:v>
      </x:c>
      <x:c r="L56" s="9" t="s">
        <x:v>149</x:v>
      </x:c>
      <x:c r="M56" s="27" t="n">
        <x:f aca="0">SUM(M53:M55)</x:f>
        <x:v>76123.71071315129</x:v>
      </x:c>
    </x:row>
    <x:row r="57" ht="15" hidden="0">
      <x:c r="A57" s="5" t="s">
        <x:v>150</x:v>
      </x:c>
      <x:c r="C57" s="21" t="n">
        <x:f aca="0">-C55*Inputs!$B$22</x:f>
        <x:v>-502.34939700000007</x:v>
      </x:c>
      <x:c r="D57" s="21" t="n">
        <x:f aca="0">-D55*Inputs!$B$22</x:f>
        <x:v>-713.0487091199999</x:v>
      </x:c>
      <x:c r="E57" s="21" t="n">
        <x:f aca="0">-E55*Inputs!$B$22</x:f>
        <x:v>-950.1792322176</x:v>
      </x:c>
      <x:c r="F57" s="21" t="n">
        <x:f aca="0">-F55*Inputs!$B$22</x:f>
        <x:v>-1211.46753089472</x:v>
      </x:c>
      <x:c r="G57" s="21" t="n">
        <x:f aca="0">-G55*Inputs!$B$22</x:f>
        <x:v>-1488.9725570567232</x:v>
      </x:c>
      <x:c r="H57" s="21" t="n">
        <x:f aca="0">-H55*Inputs!$B$22</x:f>
        <x:v>-1774.8932831855598</x:v>
      </x:c>
      <x:c r="I57" s="21" t="n">
        <x:f aca="0">-I55*Inputs!$B$22</x:f>
        <x:v>-2057.298778781151</x:v>
      </x:c>
      <x:c r="J57" s="21" t="n">
        <x:f aca="0">-J55*Inputs!$B$22</x:f>
        <x:v>-2300.786500653079</x:v>
      </x:c>
      <x:c r="L57" s="5" t="s">
        <x:v>36</x:v>
      </x:c>
      <x:c r="M57" s="34" t="n">
        <x:f aca="0">Inputs!$B$9</x:f>
        <x:v>912</x:v>
      </x:c>
    </x:row>
    <x:row r="58" ht="15" hidden="0">
      <x:c r="A58" s="5" t="s">
        <x:v>151</x:v>
      </x:c>
      <x:c r="C58" s="21" t="n">
        <x:f aca="0">C55+C57</x:f>
        <x:v>1781.0569530000002</x:v>
      </x:c>
      <x:c r="D58" s="21" t="n">
        <x:f aca="0">D55+D57</x:f>
        <x:v>2528.08178688</x:v>
      </x:c>
      <x:c r="E58" s="21" t="n">
        <x:f aca="0">E55+E57</x:f>
        <x:v>3368.8172778624003</x:v>
      </x:c>
      <x:c r="F58" s="21" t="n">
        <x:f aca="0">F55+F57</x:f>
        <x:v>4295.20306408128</x:v>
      </x:c>
      <x:c r="G58" s="21" t="n">
        <x:f aca="0">G55+G57</x:f>
        <x:v>5279.084520473836</x:v>
      </x:c>
      <x:c r="H58" s="21" t="n">
        <x:f aca="0">H55+H57</x:f>
        <x:v>6292.803458566984</x:v>
      </x:c>
      <x:c r="I58" s="21" t="n">
        <x:f aca="0">I55+I57</x:f>
        <x:v>7294.059306587718</x:v>
      </x:c>
      <x:c r="J58" s="21" t="n">
        <x:f aca="0">J55+J57</x:f>
        <x:v>8157.333956860917</x:v>
      </x:c>
      <x:c r="L58" s="9" t="s">
        <x:v>152</x:v>
      </x:c>
      <x:c r="M58" s="11" t="n">
        <x:f aca="0">M56/M57</x:f>
        <x:v>83.46898104512202</x:v>
      </x:c>
    </x:row>
    <x:row r="59" ht="15" hidden="0">
      <x:c r="A59" s="5" t="s">
        <x:v>153</x:v>
      </x:c>
      <x:c r="C59" s="21" t="n">
        <x:f aca="0">C52*Inputs!$B$31</x:f>
        <x:v>89.23657</x:v>
      </x:c>
      <x:c r="D59" s="21" t="n">
        <x:f aca="0">D52*Inputs!$B$31</x:f>
        <x:v>114.79003840000001</x:v>
      </x:c>
      <x:c r="E59" s="21" t="n">
        <x:f aca="0">E52*Inputs!$B$31</x:f>
        <x:v>143.966550336</x:v>
      </x:c>
      <x:c r="F59" s="21" t="n">
        <x:f aca="0">F52*Inputs!$B$31</x:f>
        <x:v>174.97831797120003</x:v>
      </x:c>
      <x:c r="G59" s="21" t="n">
        <x:f aca="0">G52*Inputs!$B$31</x:f>
        <x:v>207.309856428864</x:v>
      </x:c>
      <x:c r="H59" s="21" t="n">
        <x:f aca="0">H52*Inputs!$B$31</x:f>
        <x:v>240.6155168592864</x:v>
      </x:c>
      <x:c r="I59" s="21" t="n">
        <x:f aca="0">I52*Inputs!$B$31</x:f>
        <x:v>274.09153008839786</x:v>
      </x:c>
      <x:c r="J59" s="21" t="n">
        <x:f aca="0">J52*Inputs!$B$31</x:f>
        <x:v>306.53111685816884</x:v>
      </x:c>
      <x:c r="L59" s="5" t="s">
        <x:v>154</x:v>
      </x:c>
      <x:c r="M59" s="6" t="n">
        <x:f aca="0">Inputs!$B$6</x:f>
        <x:v>98.87</x:v>
      </x:c>
    </x:row>
    <x:row r="60" ht="15" hidden="0">
      <x:c r="A60" s="5" t="s">
        <x:v>155</x:v>
      </x:c>
      <x:c r="C60" s="21" t="n">
        <x:f aca="0">-C52*Inputs!$B$32</x:f>
        <x:v>-78.73815</x:v>
      </x:c>
      <x:c r="D60" s="21" t="n">
        <x:f aca="0">-D52*Inputs!$B$32</x:f>
        <x:v>-101.28532799999999</x:v>
      </x:c>
      <x:c r="E60" s="21" t="n">
        <x:f aca="0">-E52*Inputs!$B$32</x:f>
        <x:v>-127.02930911999998</x:v>
      </x:c>
      <x:c r="F60" s="21" t="n">
        <x:f aca="0">-F52*Inputs!$B$32</x:f>
        <x:v>-154.392633504</x:v>
      </x:c>
      <x:c r="G60" s="21" t="n">
        <x:f aca="0">-G52*Inputs!$B$32</x:f>
        <x:v>-182.92046155487998</x:v>
      </x:c>
      <x:c r="H60" s="21" t="n">
        <x:f aca="0">-H52*Inputs!$B$32</x:f>
        <x:v>-212.30780899348798</x:v>
      </x:c>
      <x:c r="I60" s="21" t="n">
        <x:f aca="0">-I52*Inputs!$B$32</x:f>
        <x:v>-241.84546772505692</x:v>
      </x:c>
      <x:c r="J60" s="21" t="n">
        <x:f aca="0">-J52*Inputs!$B$32</x:f>
        <x:v>-270.46863252191366</x:v>
      </x:c>
      <x:c r="L60" s="5" t="s">
        <x:v>156</x:v>
      </x:c>
      <x:c r="M60" s="26" t="n">
        <x:f aca="0">M58/M59-1</x:f>
        <x:v>-0.15577039501242018</x:v>
      </x:c>
    </x:row>
    <x:row r="61" ht="15" hidden="0">
      <x:c r="A61" s="5" t="s">
        <x:v>157</x:v>
      </x:c>
      <x:c r="C61" s="21" t="n">
        <x:f aca="0">-(C52-B52)*Inputs!$B$33</x:f>
        <x:v>-38.810500000000005</x:v>
      </x:c>
      <x:c r="D61" s="21" t="n">
        <x:f aca="0">-(D52-C52)*Inputs!$B$33</x:f>
        <x:v>-75.15726</x:v>
      </x:c>
      <x:c r="E61" s="21" t="n">
        <x:f aca="0">-(E52-D52)*Inputs!$B$33</x:f>
        <x:v>-85.81327039999996</x:v>
      </x:c>
      <x:c r="F61" s="21" t="n">
        <x:f aca="0">-(F52-E52)*Inputs!$B$33</x:f>
        <x:v>-91.21108128000006</x:v>
      </x:c>
      <x:c r="G61" s="21" t="n">
        <x:f aca="0">-(G52-F52)*Inputs!$B$33</x:f>
        <x:v>-95.09276016959994</x:v>
      </x:c>
      <x:c r="H61" s="21" t="n">
        <x:f aca="0">-(H52-G52)*Inputs!$B$33</x:f>
        <x:v>-97.95782479536001</x:v>
      </x:c>
      <x:c r="I61" s="21" t="n">
        <x:f aca="0">-(I52-H52)*Inputs!$B$33</x:f>
        <x:v>-98.45886243856313</x:v>
      </x:c>
      <x:c r="J61" s="21" t="n">
        <x:f aca="0">-(J52-I52)*Inputs!$B$33</x:f>
        <x:v>-95.41054932285579</x:v>
      </x:c>
      <x:c r="L61" s="5" t="s">
        <x:v>158</x:v>
      </x:c>
      <x:c r="M61" s="26" t="n">
        <x:f aca="0">M52/M53</x:f>
        <x:v>0.6794318307550561</x:v>
      </x:c>
    </x:row>
    <x:row r="62" ht="15" hidden="0">
      <x:c r="A62" s="32" t="s">
        <x:v>159</x:v>
      </x:c>
      <x:c r="B62" s="35"/>
      <x:c r="C62" s="33" t="n">
        <x:f aca="0">SUM(C58:C61)</x:f>
        <x:v>1752.7448730000003</x:v>
      </x:c>
      <x:c r="D62" s="33" t="n">
        <x:f aca="0">SUM(D58:D61)</x:f>
        <x:v>2466.42923728</x:v>
      </x:c>
      <x:c r="E62" s="33" t="n">
        <x:f aca="0">SUM(E58:E61)</x:f>
        <x:v>3299.9412486784004</x:v>
      </x:c>
      <x:c r="F62" s="33" t="n">
        <x:f aca="0">SUM(F58:F61)</x:f>
        <x:v>4224.577667268481</x:v>
      </x:c>
      <x:c r="G62" s="33" t="n">
        <x:f aca="0">SUM(G58:G61)</x:f>
        <x:v>5208.38115517822</x:v>
      </x:c>
      <x:c r="H62" s="33" t="n">
        <x:f aca="0">SUM(H58:H61)</x:f>
        <x:v>6223.153341637422</x:v>
      </x:c>
      <x:c r="I62" s="33" t="n">
        <x:f aca="0">SUM(I58:I61)</x:f>
        <x:v>7227.8465065124965</x:v>
      </x:c>
      <x:c r="J62" s="33" t="n">
        <x:f aca="0">SUM(J58:J61)</x:f>
        <x:v>8097.985891874316</x:v>
      </x:c>
      <x:c r="L62" s="5" t="s">
        <x:v>160</x:v>
      </x:c>
      <x:c r="M62" s="36" t="n">
        <x:f aca="0">M51/((J55+J59)*(1+Inputs!$B$27))</x:f>
        <x:v>9.805805264278485</x:v>
      </x:c>
    </x:row>
    <x:row r="63" ht="15" hidden="0">
      <x:c r="A63" s="5" t="s">
        <x:v>161</x:v>
      </x:c>
      <x:c r="C63" s="26" t="n">
        <x:f aca="0">C62/C52</x:f>
        <x:v>0.3339064112504549</x:v>
      </x:c>
      <x:c r="D63" s="26" t="n">
        <x:f aca="0">D62/D52</x:f>
        <x:v>0.36526947475748905</x:v>
      </x:c>
      <x:c r="E63" s="26" t="n">
        <x:f aca="0">E62/E52</x:f>
        <x:v>0.38966691288083743</x:v>
      </x:c>
      <x:c r="F63" s="26" t="n">
        <x:f aca="0">F62/F52</x:f>
        <x:v>0.4104383970326243</x:v>
      </x:c>
      <x:c r="G63" s="26" t="n">
        <x:f aca="0">G62/G52</x:f>
        <x:v>0.42710212222066773</x:v>
      </x:c>
      <x:c r="H63" s="26" t="n">
        <x:f aca="0">H62/H52</x:f>
        <x:v>0.4396790705302061</x:v>
      </x:c>
      <x:c r="I63" s="26" t="n">
        <x:f aca="0">I62/I52</x:f>
        <x:v>0.44829327842084093</x:v>
      </x:c>
      <x:c r="J63" s="26" t="n">
        <x:f aca="0">J62/J52</x:f>
        <x:v>0.4491085980858543</x:v>
      </x:c>
      <x:c r="L63" s="5" t="s">
        <x:v>162</x:v>
      </x:c>
      <x:c r="M63" s="36" t="n">
        <x:f aca="0">M53/D55</x:f>
        <x:v>22.5019359150022</x:v>
      </x:c>
    </x:row>
    <x:row r="64" ht="15" hidden="0">
      <x:c r="A64" s="5" t="s">
        <x:v>163</x:v>
      </x:c>
      <x:c r="C64" s="22" t="n">
        <x:f aca="0">Inputs!$B$13</x:f>
        <x:v>0.2054794520547945</x:v>
      </x:c>
      <x:c r="D64" s="37" t="n">
        <x:v>1</x:v>
      </x:c>
      <x:c r="E64" s="37" t="n">
        <x:v>1</x:v>
      </x:c>
      <x:c r="F64" s="37" t="n">
        <x:v>1</x:v>
      </x:c>
      <x:c r="G64" s="37" t="n">
        <x:v>1</x:v>
      </x:c>
      <x:c r="H64" s="37" t="n">
        <x:v>1</x:v>
      </x:c>
      <x:c r="I64" s="37" t="n">
        <x:v>1</x:v>
      </x:c>
      <x:c r="J64" s="37" t="n">
        <x:v>1</x:v>
      </x:c>
      <x:c r="L64" s="5" t="s">
        <x:v>164</x:v>
      </x:c>
      <x:c r="M64" s="36" t="n">
        <x:f aca="0">(Inputs!$B$12-Inputs!$B$10+Inputs!$B$11)/D55</x:f>
        <x:v>26.835525477095757</x:v>
      </x:c>
    </x:row>
    <x:row r="65" ht="15" hidden="0">
      <x:c r="A65" s="5" t="s">
        <x:v>165</x:v>
      </x:c>
      <x:c r="C65" s="22" t="n">
        <x:f aca="0">Inputs!$B$13/2</x:f>
        <x:v>0.10273972602739725</x:v>
      </x:c>
      <x:c r="D65" s="22" t="n">
        <x:f aca="0">Inputs!$B$13+1-0.5</x:f>
        <x:v>0.7054794520547945</x:v>
      </x:c>
      <x:c r="E65" s="22" t="n">
        <x:f aca="0">Inputs!$B$13+2-0.5</x:f>
        <x:v>1.7054794520547945</x:v>
      </x:c>
      <x:c r="F65" s="22" t="n">
        <x:f aca="0">Inputs!$B$13+3-0.5</x:f>
        <x:v>2.7054794520547945</x:v>
      </x:c>
      <x:c r="G65" s="22" t="n">
        <x:f aca="0">Inputs!$B$13+4-0.5</x:f>
        <x:v>3.705479452054795</x:v>
      </x:c>
      <x:c r="H65" s="22" t="n">
        <x:f aca="0">Inputs!$B$13+5-0.5</x:f>
        <x:v>4.705479452054795</x:v>
      </x:c>
      <x:c r="I65" s="22" t="n">
        <x:f aca="0">Inputs!$B$13+6-0.5</x:f>
        <x:v>5.705479452054795</x:v>
      </x:c>
      <x:c r="J65" s="22" t="n">
        <x:f aca="0">Inputs!$B$13+7-0.5</x:f>
        <x:v>6.705479452054795</x:v>
      </x:c>
    </x:row>
    <x:row r="66" ht="15" hidden="0">
      <x:c r="A66" s="5" t="s">
        <x:v>166</x:v>
      </x:c>
      <x:c r="C66" s="38" t="n">
        <x:f aca="0">1/(1+Inputs!$B$26)^C65</x:f>
        <x:v>0.988722280525439</x:v>
      </x:c>
      <x:c r="D66" s="38" t="n">
        <x:f aca="0">1/(1+Inputs!$B$26)^D65</x:f>
        <x:v>0.9250751266517575</x:v>
      </x:c>
      <x:c r="E66" s="38" t="n">
        <x:f aca="0">1/(1+Inputs!$B$26)^E65</x:f>
        <x:v>0.8283878638661537</x:v>
      </x:c>
      <x:c r="F66" s="38" t="n">
        <x:f aca="0">1/(1+Inputs!$B$26)^F65</x:f>
        <x:v>0.7418061876601052</x:v>
      </x:c>
      <x:c r="G66" s="38" t="n">
        <x:f aca="0">1/(1+Inputs!$B$26)^G65</x:f>
        <x:v>0.6642738794876041</x:v>
      </x:c>
      <x:c r="H66" s="38" t="n">
        <x:f aca="0">1/(1+Inputs!$B$26)^H65</x:f>
        <x:v>0.5948451149502905</x:v>
      </x:c>
      <x:c r="I66" s="38" t="n">
        <x:f aca="0">1/(1+Inputs!$B$26)^I65</x:f>
        <x:v>0.5326729255908175</x:v>
      </x:c>
      <x:c r="J66" s="38" t="n">
        <x:f aca="0">1/(1+Inputs!$B$26)^J65</x:f>
        <x:v>0.47699886663975055</x:v>
      </x:c>
    </x:row>
    <x:row r="67" ht="15" hidden="0">
      <x:c r="A67" s="32" t="s">
        <x:v>167</x:v>
      </x:c>
      <x:c r="B67" s="35"/>
      <x:c r="C67" s="33" t="n">
        <x:f aca="0">C62*C64*C66</x:f>
        <x:v>356.0913509613352</x:v>
      </x:c>
      <x:c r="D67" s="33" t="n">
        <x:f aca="0">D62*D64*D66</x:f>
        <x:v>2281.632339054394</x:v>
      </x:c>
      <x:c r="E67" s="33" t="n">
        <x:f aca="0">E62*E64*E66</x:f>
        <x:v>2733.631281876508</x:v>
      </x:c>
      <x:c r="F67" s="33" t="n">
        <x:f aca="0">F62*F64*F66</x:f>
        <x:v>3133.817853830452</x:v>
      </x:c>
      <x:c r="G67" s="33" t="n">
        <x:f aca="0">G62*G64*G66</x:f>
        <x:v>3459.791555800365</x:v>
      </x:c>
      <x:c r="H67" s="33" t="n">
        <x:f aca="0">H62*H64*H66</x:f>
        <x:v>3701.8123648595965</x:v>
      </x:c>
      <x:c r="I67" s="33" t="n">
        <x:f aca="0">I62*I64*I66</x:f>
        <x:v>3850.078144345381</x:v>
      </x:c>
      <x:c r="J67" s="33" t="n">
        <x:f aca="0">J62*J64*J66</x:f>
        <x:v>3862.730092488738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1" workbookViewId="0"/>
  </x:sheetViews>
  <x:sheetFormatPr defaultColWidth="8.6796875" defaultRowHeight="15"/>
  <x:cols>
    <x:col min="1" max="1" width="28" hidden="0" customWidth="1"/>
    <x:col min="2" max="8" width="12" hidden="0" customWidth="1"/>
  </x:cols>
  <x:sheetData>
    <x:row r="1" ht="19.700000762939453" hidden="0">
      <x:c r="A1" s="1" t="s">
        <x:v>172</x:v>
      </x:c>
    </x:row>
    <x:row r="2" ht="15" hidden="0">
      <x:c r="A2" s="2" t="s">
        <x:v>173</x:v>
      </x:c>
    </x:row>
    <x:row r="4" ht="15" hidden="0">
      <x:c r="A4" s="10" t="s">
        <x:v>174</x:v>
      </x:c>
      <x:c r="B4" s="5"/>
      <x:c r="C4" s="39" t="n">
        <x:v>0.03</x:v>
      </x:c>
      <x:c r="D4" s="39" t="n">
        <x:v>0.035</x:v>
      </x:c>
      <x:c r="E4" s="39" t="n">
        <x:v>0.04</x:v>
      </x:c>
      <x:c r="F4" s="39" t="n">
        <x:v>0.045</x:v>
      </x:c>
      <x:c r="G4" s="39" t="n">
        <x:v>0.05</x:v>
      </x:c>
    </x:row>
    <x:row r="5" ht="15" hidden="0">
      <x:c r="B5" s="40" t="n">
        <x:v>0.095</x:v>
      </x:c>
      <x:c r="C5" s="41" t="n">
        <x:f aca="0">(SUMPRODUCT(DCF!$C$18:$J$18,DCF!$C$20:$J$20,1/(1+$B5)^DCF!$C$21:$J$21)+DCF!$J$18*(1+C$4)/($B5-C$4)/(1+$B5)^(Inputs!$B$13+7)+Inputs!$B$10-Inputs!$B$11)/Inputs!$B$9</x:f>
        <x:v>67.6113110769394</x:v>
      </x:c>
      <x:c r="D5" s="41" t="n">
        <x:f aca="0">(SUMPRODUCT(DCF!$C$18:$J$18,DCF!$C$20:$J$20,1/(1+$B5)^DCF!$C$21:$J$21)+DCF!$J$18*(1+D$4)/($B5-D$4)/(1+$B5)^(Inputs!$B$13+7)+Inputs!$B$10-Inputs!$B$11)/Inputs!$B$9</x:f>
        <x:v>71.56962948018985</x:v>
      </x:c>
      <x:c r="E5" s="41" t="n">
        <x:f aca="0">(SUMPRODUCT(DCF!$C$18:$J$18,DCF!$C$20:$J$20,1/(1+$B5)^DCF!$C$21:$J$21)+DCF!$J$18*(1+E$4)/($B5-E$4)/(1+$B5)^(Inputs!$B$13+7)+Inputs!$B$10-Inputs!$B$11)/Inputs!$B$9</x:f>
        <x:v>76.24764213857677</x:v>
      </x:c>
      <x:c r="F5" s="41" t="n">
        <x:f aca="0">(SUMPRODUCT(DCF!$C$18:$J$18,DCF!$C$20:$J$20,1/(1+$B5)^DCF!$C$21:$J$21)+DCF!$J$18*(1+F$4)/($B5-F$4)/(1+$B5)^(Inputs!$B$13+7)+Inputs!$B$10-Inputs!$B$11)/Inputs!$B$9</x:f>
        <x:v>81.86125732864106</x:v>
      </x:c>
      <x:c r="G5" s="41" t="n">
        <x:f aca="0">(SUMPRODUCT(DCF!$C$18:$J$18,DCF!$C$20:$J$20,1/(1+$B5)^DCF!$C$21:$J$21)+DCF!$J$18*(1+G$4)/($B5-G$4)/(1+$B5)^(Inputs!$B$13+7)+Inputs!$B$10-Inputs!$B$11)/Inputs!$B$9</x:f>
        <x:v>88.72234256094184</x:v>
      </x:c>
    </x:row>
    <x:row r="6" ht="15" hidden="0">
      <x:c r="B6" s="40" t="n">
        <x:v>0.105</x:v>
      </x:c>
      <x:c r="C6" s="41" t="n">
        <x:f aca="0">(SUMPRODUCT(DCF!$C$18:$J$18,DCF!$C$20:$J$20,1/(1+$B6)^DCF!$C$21:$J$21)+DCF!$J$18*(1+C$4)/($B6-C$4)/(1+$B6)^(Inputs!$B$13+7)+Inputs!$B$10-Inputs!$B$11)/Inputs!$B$9</x:f>
        <x:v>58.54165067211893</x:v>
      </x:c>
      <x:c r="D6" s="41" t="n">
        <x:f aca="0">(SUMPRODUCT(DCF!$C$18:$J$18,DCF!$C$20:$J$20,1/(1+$B6)^DCF!$C$21:$J$21)+DCF!$J$18*(1+D$4)/($B6-D$4)/(1+$B6)^(Inputs!$B$13+7)+Inputs!$B$10-Inputs!$B$11)/Inputs!$B$9</x:f>
        <x:v>61.320825135198824</x:v>
      </x:c>
      <x:c r="E6" s="41" t="n">
        <x:f aca="0">(SUMPRODUCT(DCF!$C$18:$J$18,DCF!$C$20:$J$20,1/(1+$B6)^DCF!$C$21:$J$21)+DCF!$J$18*(1+E$4)/($B6-E$4)/(1+$B6)^(Inputs!$B$13+7)+Inputs!$B$10-Inputs!$B$11)/Inputs!$B$9</x:f>
        <x:v>64.52756490029101</x:v>
      </x:c>
      <x:c r="F6" s="41" t="n">
        <x:f aca="0">(SUMPRODUCT(DCF!$C$18:$J$18,DCF!$C$20:$J$20,1/(1+$B6)^DCF!$C$21:$J$21)+DCF!$J$18*(1+F$4)/($B6-F$4)/(1+$B6)^(Inputs!$B$13+7)+Inputs!$B$10-Inputs!$B$11)/Inputs!$B$9</x:f>
        <x:v>68.26876129289857</x:v>
      </x:c>
      <x:c r="G6" s="41" t="n">
        <x:f aca="0">(SUMPRODUCT(DCF!$C$18:$J$18,DCF!$C$20:$J$20,1/(1+$B6)^DCF!$C$21:$J$21)+DCF!$J$18*(1+G$4)/($B6-G$4)/(1+$B6)^(Inputs!$B$13+7)+Inputs!$B$10-Inputs!$B$11)/Inputs!$B$9</x:f>
        <x:v>72.69017521143479</x:v>
      </x:c>
    </x:row>
    <x:row r="7" ht="15" hidden="0">
      <x:c r="B7" s="42" t="n">
        <x:f aca="0">Inputs!$B$26</x:f>
        <x:v>0.11671738204173646</x:v>
      </x:c>
      <x:c r="C7" s="41" t="n">
        <x:f aca="0">(SUMPRODUCT(DCF!$C$18:$J$18,DCF!$C$20:$J$20,1/(1+$B7)^DCF!$C$21:$J$21)+DCF!$J$18*(1+C$4)/($B7-C$4)/(1+$B7)^(Inputs!$B$13+7)+Inputs!$B$10-Inputs!$B$11)/Inputs!$B$9</x:f>
        <x:v>50.61846082998211</x:v>
      </x:c>
      <x:c r="D7" s="41" t="n">
        <x:f aca="0">(SUMPRODUCT(DCF!$C$18:$J$18,DCF!$C$20:$J$20,1/(1+$B7)^DCF!$C$21:$J$21)+DCF!$J$18*(1+D$4)/($B7-D$4)/(1+$B7)^(Inputs!$B$13+7)+Inputs!$B$10-Inputs!$B$11)/Inputs!$B$9</x:f>
        <x:v>52.54699448132194</x:v>
      </x:c>
      <x:c r="E7" s="43" t="n">
        <x:f aca="0">(SUMPRODUCT(DCF!$C$18:$J$18,DCF!$C$20:$J$20,1/(1+$B7)^DCF!$C$21:$J$21)+DCF!$J$18*(1+E$4)/($B7-E$4)/(1+$B7)^(Inputs!$B$13+7)+Inputs!$B$10-Inputs!$B$11)/Inputs!$B$9</x:f>
        <x:v>54.72690971008455</x:v>
      </x:c>
      <x:c r="F7" s="41" t="n">
        <x:f aca="0">(SUMPRODUCT(DCF!$C$18:$J$18,DCF!$C$20:$J$20,1/(1+$B7)^DCF!$C$21:$J$21)+DCF!$J$18*(1+F$4)/($B7-F$4)/(1+$B7)^(Inputs!$B$13+7)+Inputs!$B$10-Inputs!$B$11)/Inputs!$B$9</x:f>
        <x:v>57.210784058199</x:v>
      </x:c>
      <x:c r="G7" s="41" t="n">
        <x:f aca="0">(SUMPRODUCT(DCF!$C$18:$J$18,DCF!$C$20:$J$20,1/(1+$B7)^DCF!$C$21:$J$21)+DCF!$J$18*(1+G$4)/($B7-G$4)/(1+$B7)^(Inputs!$B$13+7)+Inputs!$B$10-Inputs!$B$11)/Inputs!$B$9</x:f>
        <x:v>60.0669563400904</x:v>
      </x:c>
    </x:row>
    <x:row r="8" ht="15" hidden="0">
      <x:c r="B8" s="40" t="n">
        <x:v>0.125</x:v>
      </x:c>
      <x:c r="C8" s="41" t="n">
        <x:f aca="0">(SUMPRODUCT(DCF!$C$18:$J$18,DCF!$C$20:$J$20,1/(1+$B8)^DCF!$C$21:$J$21)+DCF!$J$18*(1+C$4)/($B8-C$4)/(1+$B8)^(Inputs!$B$13+7)+Inputs!$B$10-Inputs!$B$11)/Inputs!$B$9</x:f>
        <x:v>46.220157035516124</x:v>
      </x:c>
      <x:c r="D8" s="41" t="n">
        <x:f aca="0">(SUMPRODUCT(DCF!$C$18:$J$18,DCF!$C$20:$J$20,1/(1+$B8)^DCF!$C$21:$J$21)+DCF!$J$18*(1+D$4)/($B8-D$4)/(1+$B8)^(Inputs!$B$13+7)+Inputs!$B$10-Inputs!$B$11)/Inputs!$B$9</x:f>
        <x:v>47.74690305891976</x:v>
      </x:c>
      <x:c r="E8" s="41" t="n">
        <x:f aca="0">(SUMPRODUCT(DCF!$C$18:$J$18,DCF!$C$20:$J$20,1/(1+$B8)^DCF!$C$21:$J$21)+DCF!$J$18*(1+E$4)/($B8-E$4)/(1+$B8)^(Inputs!$B$13+7)+Inputs!$B$10-Inputs!$B$11)/Inputs!$B$9</x:f>
        <x:v>49.45326626154738</x:v>
      </x:c>
      <x:c r="F8" s="41" t="n">
        <x:f aca="0">(SUMPRODUCT(DCF!$C$18:$J$18,DCF!$C$20:$J$20,1/(1+$B8)^DCF!$C$21:$J$21)+DCF!$J$18*(1+F$4)/($B8-F$4)/(1+$B8)^(Inputs!$B$13+7)+Inputs!$B$10-Inputs!$B$11)/Inputs!$B$9</x:f>
        <x:v>51.37292486450342</x:v>
      </x:c>
      <x:c r="G8" s="41" t="n">
        <x:f aca="0">(SUMPRODUCT(DCF!$C$18:$J$18,DCF!$C$20:$J$20,1/(1+$B8)^DCF!$C$21:$J$21)+DCF!$J$18*(1+G$4)/($B8-G$4)/(1+$B8)^(Inputs!$B$13+7)+Inputs!$B$10-Inputs!$B$11)/Inputs!$B$9</x:f>
        <x:v>53.54853794785362</x:v>
      </x:c>
    </x:row>
    <x:row r="9" ht="15" hidden="0">
      <x:c r="B9" s="40" t="n">
        <x:v>0.135</x:v>
      </x:c>
      <x:c r="C9" s="41" t="n">
        <x:f aca="0">(SUMPRODUCT(DCF!$C$18:$J$18,DCF!$C$20:$J$20,1/(1+$B9)^DCF!$C$21:$J$21)+DCF!$J$18*(1+C$4)/($B9-C$4)/(1+$B9)^(Inputs!$B$13+7)+Inputs!$B$10-Inputs!$B$11)/Inputs!$B$9</x:f>
        <x:v>41.855848649045065</x:v>
      </x:c>
      <x:c r="D9" s="41" t="n">
        <x:f aca="0">(SUMPRODUCT(DCF!$C$18:$J$18,DCF!$C$20:$J$20,1/(1+$B9)^DCF!$C$21:$J$21)+DCF!$J$18*(1+D$4)/($B9-D$4)/(1+$B9)^(Inputs!$B$13+7)+Inputs!$B$10-Inputs!$B$11)/Inputs!$B$9</x:f>
        <x:v>43.03262478169152</x:v>
      </x:c>
      <x:c r="E9" s="41" t="n">
        <x:f aca="0">(SUMPRODUCT(DCF!$C$18:$J$18,DCF!$C$20:$J$20,1/(1+$B9)^DCF!$C$21:$J$21)+DCF!$J$18*(1+E$4)/($B9-E$4)/(1+$B9)^(Inputs!$B$13+7)+Inputs!$B$10-Inputs!$B$11)/Inputs!$B$9</x:f>
        <x:v>44.33327208619548</x:v>
      </x:c>
      <x:c r="F9" s="41" t="n">
        <x:f aca="0">(SUMPRODUCT(DCF!$C$18:$J$18,DCF!$C$20:$J$20,1/(1+$B9)^DCF!$C$21:$J$21)+DCF!$J$18*(1+F$4)/($B9-F$4)/(1+$B9)^(Inputs!$B$13+7)+Inputs!$B$10-Inputs!$B$11)/Inputs!$B$9</x:f>
        <x:v>45.77843575786654</x:v>
      </x:c>
      <x:c r="G9" s="41" t="n">
        <x:f aca="0">(SUMPRODUCT(DCF!$C$18:$J$18,DCF!$C$20:$J$20,1/(1+$B9)^DCF!$C$21:$J$21)+DCF!$J$18*(1+G$4)/($B9-G$4)/(1+$B9)^(Inputs!$B$13+7)+Inputs!$B$10-Inputs!$B$11)/Inputs!$B$9</x:f>
        <x:v>47.393618685028336</x:v>
      </x:c>
    </x:row>
    <x:row r="10" ht="15" hidden="0">
      <x:c r="B10" s="40" t="n">
        <x:v>0.145</x:v>
      </x:c>
      <x:c r="C10" s="41" t="n">
        <x:f aca="0">(SUMPRODUCT(DCF!$C$18:$J$18,DCF!$C$20:$J$20,1/(1+$B10)^DCF!$C$21:$J$21)+DCF!$J$18*(1+C$4)/($B10-C$4)/(1+$B10)^(Inputs!$B$13+7)+Inputs!$B$10-Inputs!$B$11)/Inputs!$B$9</x:f>
        <x:v>38.27027528002523</x:v>
      </x:c>
      <x:c r="D10" s="41" t="n">
        <x:f aca="0">(SUMPRODUCT(DCF!$C$18:$J$18,DCF!$C$20:$J$20,1/(1+$B10)^DCF!$C$21:$J$21)+DCF!$J$18*(1+D$4)/($B10-D$4)/(1+$B10)^(Inputs!$B$13+7)+Inputs!$B$10-Inputs!$B$11)/Inputs!$B$9</x:f>
        <x:v>39.19529730699679</x:v>
      </x:c>
      <x:c r="E10" s="41" t="n">
        <x:f aca="0">(SUMPRODUCT(DCF!$C$18:$J$18,DCF!$C$20:$J$20,1/(1+$B10)^DCF!$C$21:$J$21)+DCF!$J$18*(1+E$4)/($B10-E$4)/(1+$B10)^(Inputs!$B$13+7)+Inputs!$B$10-Inputs!$B$11)/Inputs!$B$9</x:f>
        <x:v>40.2084166698704</x:v>
      </x:c>
      <x:c r="F10" s="41" t="n">
        <x:f aca="0">(SUMPRODUCT(DCF!$C$18:$J$18,DCF!$C$20:$J$20,1/(1+$B10)^DCF!$C$21:$J$21)+DCF!$J$18*(1+F$4)/($B10-F$4)/(1+$B10)^(Inputs!$B$13+7)+Inputs!$B$10-Inputs!$B$11)/Inputs!$B$9</x:f>
        <x:v>41.32284796903136</x:v>
      </x:c>
      <x:c r="G10" s="41" t="n">
        <x:f aca="0">(SUMPRODUCT(DCF!$C$18:$J$18,DCF!$C$20:$J$20,1/(1+$B10)^DCF!$C$21:$J$21)+DCF!$J$18*(1+G$4)/($B10-G$4)/(1+$B10)^(Inputs!$B$13+7)+Inputs!$B$10-Inputs!$B$11)/Inputs!$B$9</x:f>
        <x:v>42.554587825998745</x:v>
      </x:c>
    </x:row>
    <x:row r="12" ht="15" hidden="0">
      <x:c r="A12" s="10" t="s">
        <x:v>154</x:v>
      </x:c>
      <x:c r="B12" s="6" t="n">
        <x:f aca="0">Inputs!$B$6</x:f>
        <x:v>98.87</x:v>
      </x:c>
    </x:row>
    <x:row r="13" ht="15" hidden="0">
      <x:c r="A13" s="2" t="s">
        <x:v>175</x:v>
      </x:c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6796875" defaultRowHeight="15"/>
  <x:cols>
    <x:col min="1" max="1" width="6" hidden="0" customWidth="1"/>
    <x:col min="2" max="2" width="70" hidden="0" customWidth="1"/>
    <x:col min="3" max="3" width="95" hidden="0" customWidth="1"/>
  </x:cols>
  <x:sheetData>
    <x:row r="1" ht="19.700000762939453" hidden="0">
      <x:c r="A1" s="1" t="s">
        <x:v>176</x:v>
      </x:c>
    </x:row>
    <x:row r="3" ht="15" hidden="0">
      <x:c r="A3" s="3" t="s">
        <x:v>177</x:v>
      </x:c>
      <x:c r="B3" s="4" t="s">
        <x:v>178</x:v>
      </x:c>
      <x:c r="C3" s="4" t="s">
        <x:v>179</x:v>
      </x:c>
    </x:row>
    <x:row r="4" ht="15" hidden="0">
      <x:c r="A4" s="5" t="n">
        <x:v>1</x:v>
      </x:c>
      <x:c r="B4" s="5" t="s">
        <x:v>180</x:v>
      </x:c>
      <x:c r="C4" s="2" t="s">
        <x:v>181</x:v>
      </x:c>
    </x:row>
    <x:row r="5" ht="15" hidden="0">
      <x:c r="A5" s="5" t="n">
        <x:v>2</x:v>
      </x:c>
      <x:c r="B5" s="5" t="s">
        <x:v>182</x:v>
      </x:c>
      <x:c r="C5" s="2" t="s">
        <x:v>183</x:v>
      </x:c>
    </x:row>
    <x:row r="6" ht="15" hidden="0">
      <x:c r="A6" s="5" t="n">
        <x:v>3</x:v>
      </x:c>
      <x:c r="B6" s="5" t="s">
        <x:v>184</x:v>
      </x:c>
      <x:c r="C6" s="2" t="s">
        <x:v>185</x:v>
      </x:c>
    </x:row>
    <x:row r="7" ht="15" hidden="0">
      <x:c r="A7" s="5" t="n">
        <x:v>4</x:v>
      </x:c>
      <x:c r="B7" s="5" t="s">
        <x:v>186</x:v>
      </x:c>
      <x:c r="C7" s="2" t="s">
        <x:v>187</x:v>
      </x:c>
    </x:row>
    <x:row r="8" ht="15" hidden="0">
      <x:c r="A8" s="5" t="n">
        <x:v>5</x:v>
      </x:c>
      <x:c r="B8" s="5" t="s">
        <x:v>188</x:v>
      </x:c>
      <x:c r="C8" s="2" t="s">
        <x:v>189</x:v>
      </x:c>
    </x:row>
    <x:row r="9" ht="15" hidden="0">
      <x:c r="A9" s="5" t="n">
        <x:v>6</x:v>
      </x:c>
      <x:c r="B9" s="5" t="s">
        <x:v>190</x:v>
      </x:c>
      <x:c r="C9" s="2" t="s">
        <x:v>191</x:v>
      </x:c>
    </x:row>
    <x:row r="10" ht="15" hidden="0">
      <x:c r="A10" s="5" t="n">
        <x:v>7</x:v>
      </x:c>
      <x:c r="B10" s="5" t="s">
        <x:v>192</x:v>
      </x:c>
      <x:c r="C10" s="2" t="s">
        <x:v>193</x:v>
      </x:c>
    </x:row>
    <x:row r="11" ht="15" hidden="0">
      <x:c r="A11" s="5" t="n">
        <x:v>8</x:v>
      </x:c>
      <x:c r="B11" s="5" t="s">
        <x:v>194</x:v>
      </x:c>
      <x:c r="C11" s="2" t="s">
        <x:v>195</x:v>
      </x:c>
    </x:row>
    <x:row r="13" ht="15" hidden="0">
      <x:c r="B13" s="2" t="s">
        <x:v>196</x:v>
      </x:c>
    </x:row>
    <x:row r="15">
      <x:c r="A15" t="str">
        <x:v>9</x:v>
      </x:c>
      <x:c r="B15" t="str">
        <x:v>Convertible notes 8-K, June 2026</x:v>
      </x:c>
      <x:c r="C15" t="str">
        <x:v>https://www.sec.gov/Archives/edgar/data/1783879/000178387926000077/hood-20260622.htm</x:v>
      </x:c>
    </x:row>
    <x:row r="16">
      <x:c r="A16" t="str">
        <x:v>10</x:v>
      </x:c>
      <x:c r="B16" t="str">
        <x:v>Q2 2026 results IR (primary)</x:v>
      </x:c>
      <x:c r="C16" t="str">
        <x:v>https://investors.robinhood.com/news-releases/news-release-details/robinhood-reports-second-quarter-2026-results</x:v>
      </x:c>
    </x:row>
    <x:row r="17">
      <x:c r="A17" t="str">
        <x:v>11</x:v>
      </x:c>
      <x:c r="B17" t="str">
        <x:v>Market-aligned peer figures</x:v>
      </x:c>
      <x:c r="C17" t="str">
        <x:v>Not populated; verify before use</x:v>
      </x:c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47" hidden="0" customWidth="1"/>
    <x:col min="2" max="2" width="22" hidden="0" customWidth="1"/>
    <x:col min="3" max="3" width="34" hidden="0" customWidth="1"/>
    <x:col min="4" max="4" width="27" hidden="0" customWidth="1"/>
  </x:cols>
  <x:sheetData>
    <x:row r="1">
      <x:c r="A1" s="92" t="str">
        <x:v>FY2026 cash-flow stub — transparent reconciliation</x:v>
      </x:c>
      <x:c r="B1" s="92"/>
      <x:c r="C1" s="92"/>
      <x:c r="D1" s="92"/>
      <x:c r="E1" s="92"/>
      <x:c r="F1" s="92"/>
      <x:c r="G1" s="92"/>
      <x:c r="H1" s="92"/>
    </x:row>
    <x:row r="2">
      <x:c r="A2" t="str">
        <x:v>Annual FY2026 forecast FCF (base, $mm)</x:v>
      </x:c>
      <x:c r="B2" t="n">
        <x:f>DCF!C18</x:f>
        <x:v>1752.7448730000003</x:v>
      </x:c>
      <x:c r="C2" t="str">
        <x:v>Source: DCF!C18</x:v>
      </x:c>
    </x:row>
    <x:row r="3">
      <x:c r="A3" t="str">
        <x:v>FY2026 estimated H1 proxy ($mm)</x:v>
      </x:c>
      <x:c r="B3" t="n">
        <x:f>DCF!C18*0.5</x:f>
        <x:v>876.3724365000002</x:v>
      </x:c>
      <x:c r="C3" t="str">
        <x:v>Analyst scenario; NOT a filed U-FCF measure</x:v>
      </x:c>
    </x:row>
    <x:row r="4">
      <x:c r="A4" t="str">
        <x:v>FY2026 estimated Q3 FCF ($mm)</x:v>
      </x:c>
      <x:c r="B4" t="n">
        <x:f>(B2-B3)*0.5</x:f>
        <x:v>438.1862182500001</x:v>
      </x:c>
      <x:c r="C4" t="str">
        <x:v>Editable; must update upon Q3 filing</x:v>
      </x:c>
    </x:row>
    <x:row r="5">
      <x:c r="A5" t="str">
        <x:v>FY2026 estimated Q4 FCF ($mm)</x:v>
      </x:c>
      <x:c r="B5" t="n">
        <x:f>B2-B3-B4</x:f>
        <x:v>438.1862182500001</x:v>
      </x:c>
      <x:c r="C5" t="str">
        <x:v>Annual less H1 and Q3</x:v>
      </x:c>
    </x:row>
    <x:row r="6">
      <x:c r="A6" t="str">
        <x:v>Days remaining in Q4 from valuation date</x:v>
      </x:c>
      <x:c r="B6" t="n">
        <x:f>Inputs!B8-Inputs!B7</x:f>
        <x:v>75</x:v>
      </x:c>
      <x:c r="C6" t="str">
        <x:v>October 17 through December 31</x:v>
      </x:c>
    </x:row>
    <x:row r="7">
      <x:c r="A7" t="str">
        <x:v>Days in Q4</x:v>
      </x:c>
      <x:c r="B7" t="n">
        <x:v>92</x:v>
      </x:c>
    </x:row>
    <x:row r="8">
      <x:c r="A8" t="str">
        <x:v>Portion of Q4 remaining</x:v>
      </x:c>
      <x:c r="B8" s="94" t="n">
        <x:f>B6/B7</x:f>
        <x:v>0.8152173913043478</x:v>
      </x:c>
      <x:c r="C8" t="str">
        <x:v>Remaining days / 92</x:v>
      </x:c>
    </x:row>
    <x:row r="9">
      <x:c r="A9" t="str">
        <x:v>Q4 remaining FCF ($mm)</x:v>
      </x:c>
      <x:c r="B9" t="n">
        <x:f>B5*B8</x:f>
        <x:v>357.21702574728266</x:v>
      </x:c>
      <x:c r="C9" t="str">
        <x:v>Stub operating FCF, not full annual cash flow</x:v>
      </x:c>
    </x:row>
    <x:row r="10">
      <x:c r="A10" t="str">
        <x:v>Current original FCF stub ($mm)</x:v>
      </x:c>
      <x:c r="B10" t="n">
        <x:f>DCF!C18*Inputs!B13</x:f>
        <x:v>360.15305609589046</x:v>
      </x:c>
      <x:c r="C10" t="str">
        <x:v>FY2026 full-year proxy * remainder of year</x:v>
      </x:c>
    </x:row>
    <x:row r="11">
      <x:c r="A11" t="str">
        <x:v>Difference ($mm)</x:v>
      </x:c>
      <x:c r="B11" t="n">
        <x:f>B9-B10</x:f>
        <x:v>-2.936030348607801</x:v>
      </x:c>
      <x:c r="C11" t="str">
        <x:v>Positive indicates revised stub higher</x:v>
      </x:c>
    </x:row>
    <x:row r="12">
      <x:c r="A12" t="str">
        <x:v>Warning: Q3 actuals and quarterly seasonality unavailable at valuation date; forecast ranges illustrative.</x:v>
      </x:c>
    </x:row>
    <x:row r="13">
      <x:c r="A13" t="str">
        <x:v>This bridge is a check, not yet the operative discount-row until Q3 and Q4 working-capital baselines are validated.</x:v>
      </x:c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47" hidden="0" customWidth="1"/>
    <x:col min="2" max="2" width="22" hidden="0" customWidth="1"/>
    <x:col min="3" max="3" width="34" hidden="0" customWidth="1"/>
    <x:col min="4" max="4" width="27" hidden="0" customWidth="1"/>
  </x:cols>
  <x:sheetData>
    <x:row r="1">
      <x:c r="A1" s="92" t="str">
        <x:v>2029 convertible notes — capitalization sensitivity</x:v>
      </x:c>
      <x:c r="B1" s="92"/>
      <x:c r="C1" s="92"/>
      <x:c r="D1" s="92"/>
      <x:c r="E1" s="92"/>
      <x:c r="F1" s="92"/>
      <x:c r="G1" s="92"/>
      <x:c r="H1" s="92"/>
    </x:row>
    <x:row r="2">
      <x:c r="A2" t="str">
        <x:v>Notes carrying value, $mm</x:v>
      </x:c>
      <x:c r="B2" t="n">
        <x:f>Inputs!B11</x:f>
        <x:v>2170</x:v>
      </x:c>
      <x:c r="C2" t="str">
        <x:v>From Q2 2026 balance sheet</x:v>
      </x:c>
    </x:row>
    <x:row r="3">
      <x:c r="A3" t="str">
        <x:v>Maximum conversion shares (mm)</x:v>
      </x:c>
      <x:c r="B3" t="n">
        <x:v>20.81156</x:v>
      </x:c>
      <x:c r="C3" t="str">
        <x:v>June 22 SEC 8-K; max subject to adjustments</x:v>
      </x:c>
    </x:row>
    <x:row r="4">
      <x:c r="A4" t="str">
        <x:v>Shares in core model (mm)</x:v>
      </x:c>
      <x:c r="B4" t="n">
        <x:f>Inputs!B9</x:f>
        <x:v>912</x:v>
      </x:c>
      <x:c r="C4" t="str">
        <x:v>May already include weighted diluted conversion</x:v>
      </x:c>
    </x:row>
    <x:row r="5">
      <x:c r="A5" t="str">
        <x:v>Cash settlement value method / share</x:v>
      </x:c>
      <x:c r="B5" t="n">
        <x:f>(DCF!M9+Inputs!B10-B2)/B4</x:f>
        <x:v>54.72690971008455</x:v>
      </x:c>
      <x:c r="C5" t="str">
        <x:v>Subtract debt, no incremental conversion shares</x:v>
      </x:c>
    </x:row>
    <x:row r="6">
      <x:c r="A6" t="str">
        <x:v>Illustrative full share settlement value / share</x:v>
      </x:c>
      <x:c r="B6" t="n">
        <x:f>(DCF!M9+Inputs!B10)/(B4+B3)</x:f>
        <x:v>55.83222152135112</x:v>
      </x:c>
      <x:c r="C6" t="str">
        <x:v>Do NOT deduct notes if equity-settled; add max shares</x:v>
      </x:c>
    </x:row>
    <x:row r="7">
      <x:c r="A7" t="str">
        <x:v>Difference</x:v>
      </x:c>
      <x:c r="B7" t="n">
        <x:f>B6-B5</x:f>
        <x:v>1.1053118112665743</x:v>
      </x:c>
      <x:c r="C7" t="str">
        <x:v>Methodology sensitivity, not a forecast</x:v>
      </x:c>
    </x:row>
    <x:row r="8">
      <x:c r="A8" t="str">
        <x:v>Notes</x:v>
      </x:c>
      <x:c r="B8" t="str">
        <x:v>The contract settlement terms, if-converted test, average market price, treasury stock treatment and weighted shares require instrument-level diligence.</x:v>
      </x:c>
    </x:row>
    <x:row r="9">
      <x:c r="A9" t="str">
        <x:v>Source</x:v>
      </x:c>
      <x:c r="B9" t="str">
        <x:v>https://www.sec.gov/Archives/edgar/data/1783879/000178387926000077/hood-20260622.htm</x:v>
      </x:c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47" hidden="0" customWidth="1"/>
    <x:col min="2" max="2" width="22" hidden="0" customWidth="1"/>
    <x:col min="3" max="3" width="34" hidden="0" customWidth="1"/>
    <x:col min="4" max="4" width="27" hidden="0" customWidth="1"/>
  </x:cols>
  <x:sheetData>
    <x:row r="1">
      <x:c r="A1" s="92" t="str">
        <x:v>Reverse DCF — auditable market-implied growth scenario</x:v>
      </x:c>
      <x:c r="B1" s="92"/>
      <x:c r="C1" s="92"/>
      <x:c r="D1" s="92"/>
      <x:c r="E1" s="92"/>
      <x:c r="F1" s="92"/>
      <x:c r="G1" s="92"/>
      <x:c r="H1" s="92"/>
    </x:row>
    <x:row r="2">
      <x:c r="A2" t="str">
        <x:v>FY2025 revenue ($mm)</x:v>
      </x:c>
      <x:c r="B2" t="n">
        <x:f>Historicals!C8</x:f>
        <x:v>4473</x:v>
      </x:c>
      <x:c r="C2" t="str">
        <x:v>Reported</x:v>
      </x:c>
    </x:row>
    <x:row r="3">
      <x:c r="A3" t="str">
        <x:v>Stock price</x:v>
      </x:c>
      <x:c r="B3" t="n">
        <x:f>Inputs!B6</x:f>
        <x:v>98.87</x:v>
      </x:c>
      <x:c r="C3" t="str">
        <x:v>Market close Oct 16, 2026</x:v>
      </x:c>
    </x:row>
    <x:row r="4">
      <x:c r="A4" t="str">
        <x:v>Annual revenue growth (2026–33)</x:v>
      </x:c>
      <x:c r="B4" s="94" t="n">
        <x:v>0.2</x:v>
      </x:c>
      <x:c r="C4" t="str">
        <x:v>Analyst test lever — not a consensus estimate</x:v>
      </x:c>
    </x:row>
    <x:row r="5">
      <x:c r="A5" t="str">
        <x:v>EBIT margin</x:v>
      </x:c>
      <x:c r="B5" s="94" t="n">
        <x:v>0.52</x:v>
      </x:c>
      <x:c r="C5" t="str">
        <x:v>Constant simplifying sensitivity; differs from staged model</x:v>
      </x:c>
    </x:row>
    <x:row r="6">
      <x:c r="A6" t="str">
        <x:v>FCF / EBIT conversion</x:v>
      </x:c>
      <x:c r="B6" s="94" t="n">
        <x:v>0.76</x:v>
      </x:c>
      <x:c r="C6" t="str">
        <x:v>After tax and reinvestment proxy; explicit assumption</x:v>
      </x:c>
    </x:row>
    <x:row r="7">
      <x:c r="A7" t="str">
        <x:v>WACC</x:v>
      </x:c>
      <x:c r="B7" s="94" t="n">
        <x:f>Inputs!B26</x:f>
        <x:v>0.11671738204173646</x:v>
      </x:c>
      <x:c r="C7" t="str">
        <x:v>Linked to input assumptions</x:v>
      </x:c>
    </x:row>
    <x:row r="8">
      <x:c r="A8" t="str">
        <x:v>Perpetual growth</x:v>
      </x:c>
      <x:c r="B8" s="94" t="n">
        <x:f>Inputs!B27</x:f>
        <x:v>0.04</x:v>
      </x:c>
      <x:c r="C8" t="str">
        <x:v>Linked to assumptions</x:v>
      </x:c>
    </x:row>
    <x:row r="9">
      <x:c r="A9" t="str">
        <x:v>Cash ($mm)</x:v>
      </x:c>
      <x:c r="B9" t="n">
        <x:f>Inputs!B10</x:f>
        <x:v>5362</x:v>
      </x:c>
    </x:row>
    <x:row r="10">
      <x:c r="A10" t="str">
        <x:v>Debt ($mm)</x:v>
      </x:c>
      <x:c r="B10" t="n">
        <x:f>Inputs!B11</x:f>
        <x:v>2170</x:v>
      </x:c>
    </x:row>
    <x:row r="11">
      <x:c r="A11" t="str">
        <x:v>Diluted shares (mm)</x:v>
      </x:c>
      <x:c r="B11" t="n">
        <x:f>Inputs!B9</x:f>
        <x:v>912</x:v>
      </x:c>
    </x:row>
    <x:row r="12">
      <x:c r="A12" t="str">
        <x:v>2033 forecast revenue ($mm)</x:v>
      </x:c>
      <x:c r="B12" t="n">
        <x:f>B2*(1+B4)^8</x:f>
        <x:v>19233.08126208</x:v>
      </x:c>
    </x:row>
    <x:row r="13">
      <x:c r="A13" t="str">
        <x:v>Estimated equity/share ($)</x:v>
      </x:c>
      <x:c r="B13" t="n">
        <x:f>(SUM(D18:D25)+(C25*(1+B8)/(B7-B8))/(1+B7)^8+B9-B10)/B11</x:f>
        <x:v>71.94104203713293</x:v>
      </x:c>
      <x:c r="C13" t="str">
        <x:v>DCF sum across years on rows 18–25</x:v>
      </x:c>
    </x:row>
    <x:row r="14">
      <x:c r="A14" t="str">
        <x:v>Difference vs market price</x:v>
      </x:c>
      <x:c r="B14" t="n">
        <x:f>B13-B3</x:f>
        <x:v>-26.928957962867074</x:v>
      </x:c>
      <x:c r="C14" t="str">
        <x:v>Target = zero; vary B4 (Goal Seek in Excel)</x:v>
      </x:c>
    </x:row>
    <x:row r="15">
      <x:c r="A15" t="str">
        <x:v>Method caveat</x:v>
      </x:c>
      <x:c r="B15" t="str">
        <x:v>This standalone reverse DCF uses constant margins and a simplified FCF conversion. It is NOT a mechanical inversion of all eight segment-level operating paths.</x:v>
      </x:c>
    </x:row>
    <x:row r="16">
      <x:c r="A16" t="str">
        <x:v>Period</x:v>
      </x:c>
      <x:c r="B16" t="str">
        <x:v>Revenue</x:v>
      </x:c>
      <x:c r="C16" t="str">
        <x:v>FCF</x:v>
      </x:c>
      <x:c r="D16" t="str">
        <x:v>Discounted FCF</x:v>
      </x:c>
      <x:c r="E16" t="str">
        <x:v>Period</x:v>
      </x:c>
    </x:row>
    <x:row r="18">
      <x:c r="A18" t="n">
        <x:v>2026</x:v>
      </x:c>
      <x:c r="B18" t="n">
        <x:f>$B$2*(1+$B$4)^E18</x:f>
        <x:v>5367.599999999999</x:v>
      </x:c>
      <x:c r="C18" t="n">
        <x:f>B18*$B$5*$B$6</x:f>
        <x:v>2121.2755199999997</x:v>
      </x:c>
      <x:c r="D18" t="n">
        <x:f>C18/(1+$B$7)^E18</x:f>
        <x:v>1899.5634473975786</x:v>
      </x:c>
      <x:c r="E18" t="n">
        <x:v>1</x:v>
      </x:c>
    </x:row>
    <x:row r="19">
      <x:c r="A19" t="n">
        <x:v>2027</x:v>
      </x:c>
      <x:c r="B19" t="n">
        <x:f>$B$2*(1+$B$4)^E19</x:f>
        <x:v>6441.12</x:v>
      </x:c>
      <x:c r="C19" t="n">
        <x:f>B19*$B$5*$B$6</x:f>
        <x:v>2545.530624</x:v>
      </x:c>
      <x:c r="D19" t="n">
        <x:f>C19/(1+$B$7)^E19</x:f>
        <x:v>2041.22920761692</x:v>
      </x:c>
      <x:c r="E19" t="n">
        <x:v>2</x:v>
      </x:c>
    </x:row>
    <x:row r="20">
      <x:c r="A20" t="n">
        <x:v>2028</x:v>
      </x:c>
      <x:c r="B20" t="n">
        <x:f>$B$2*(1+$B$4)^E20</x:f>
        <x:v>7729.344</x:v>
      </x:c>
      <x:c r="C20" t="n">
        <x:f>B20*$B$5*$B$6</x:f>
        <x:v>3054.6367488</x:v>
      </x:c>
      <x:c r="D20" t="n">
        <x:f>C20/(1+$B$7)^E20</x:f>
        <x:v>2193.460125660296</x:v>
      </x:c>
      <x:c r="E20" t="n">
        <x:v>3</x:v>
      </x:c>
    </x:row>
    <x:row r="21">
      <x:c r="A21" t="n">
        <x:v>2029</x:v>
      </x:c>
      <x:c r="B21" t="n">
        <x:f>$B$2*(1+$B$4)^E21</x:f>
        <x:v>9275.2128</x:v>
      </x:c>
      <x:c r="C21" t="n">
        <x:f>B21*$B$5*$B$6</x:f>
        <x:v>3665.56409856</x:v>
      </x:c>
      <x:c r="D21" t="n">
        <x:f>C21/(1+$B$7)^E21</x:f>
        <x:v>2357.0441305210925</x:v>
      </x:c>
      <x:c r="E21" t="n">
        <x:v>4</x:v>
      </x:c>
    </x:row>
    <x:row r="22">
      <x:c r="A22" t="n">
        <x:v>2030</x:v>
      </x:c>
      <x:c r="B22" t="n">
        <x:f>$B$2*(1+$B$4)^E22</x:f>
        <x:v>11130.25536</x:v>
      </x:c>
      <x:c r="C22" t="n">
        <x:f>B22*$B$5*$B$6</x:f>
        <x:v>4398.676918272</x:v>
      </x:c>
      <x:c r="D22" t="n">
        <x:f>C22/(1+$B$7)^E22</x:f>
        <x:v>2532.827913409876</x:v>
      </x:c>
      <x:c r="E22" t="n">
        <x:v>5</x:v>
      </x:c>
    </x:row>
    <x:row r="23">
      <x:c r="A23" t="n">
        <x:v>2031</x:v>
      </x:c>
      <x:c r="B23" t="n">
        <x:f>$B$2*(1+$B$4)^E23</x:f>
        <x:v>13356.306432</x:v>
      </x:c>
      <x:c r="C23" t="n">
        <x:f>B23*$B$5*$B$6</x:f>
        <x:v>5278.4123019264</x:v>
      </x:c>
      <x:c r="D23" t="n">
        <x:f>C23/(1+$B$7)^E23</x:f>
        <x:v>2721.7213101266625</x:v>
      </x:c>
      <x:c r="E23" t="n">
        <x:v>6</x:v>
      </x:c>
    </x:row>
    <x:row r="24">
      <x:c r="A24" t="n">
        <x:v>2032</x:v>
      </x:c>
      <x:c r="B24" t="n">
        <x:f>$B$2*(1+$B$4)^E24</x:f>
        <x:v>16027.567718399998</x:v>
      </x:c>
      <x:c r="C24" t="n">
        <x:f>B24*$B$5*$B$6</x:f>
        <x:v>6334.09476231168</x:v>
      </x:c>
      <x:c r="D24" t="n">
        <x:f>C24/(1+$B$7)^E24</x:f>
        <x:v>2924.7020102620095</x:v>
      </x:c>
      <x:c r="E24" t="n">
        <x:v>7</x:v>
      </x:c>
    </x:row>
    <x:row r="25">
      <x:c r="A25" t="n">
        <x:v>2033</x:v>
      </x:c>
      <x:c r="B25" t="n">
        <x:f>$B$2*(1+$B$4)^E25</x:f>
        <x:v>19233.08126208</x:v>
      </x:c>
      <x:c r="C25" t="n">
        <x:f>B25*$B$5*$B$6</x:f>
        <x:v>7600.913714774016</x:v>
      </x:c>
      <x:c r="D25" t="n">
        <x:f>C25/(1+$B$7)^E25</x:f>
        <x:v>3142.820617601206</x:v>
      </x:c>
      <x:c r="E25" t="n">
        <x:v>8</x:v>
      </x:c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47" hidden="0" customWidth="1"/>
    <x:col min="2" max="2" width="22" hidden="0" customWidth="1"/>
    <x:col min="3" max="3" width="34" hidden="0" customWidth="1"/>
    <x:col min="4" max="4" width="27" hidden="0" customWidth="1"/>
  </x:cols>
  <x:sheetData>
    <x:row r="1">
      <x:c r="A1" s="92" t="str">
        <x:v>Peer valuation — input-required cross-check</x:v>
      </x:c>
      <x:c r="B1" s="92"/>
      <x:c r="C1" s="92"/>
      <x:c r="D1" s="92"/>
      <x:c r="E1" s="92"/>
      <x:c r="F1" s="92"/>
      <x:c r="G1" s="92"/>
      <x:c r="H1" s="92"/>
    </x:row>
    <x:row r="2">
      <x:c r="A2" t="str">
        <x:v>Comparable</x:v>
      </x:c>
      <x:c r="B2" t="str">
        <x:v>Ticker</x:v>
      </x:c>
      <x:c r="C2" t="str">
        <x:v>LTM revenue ($mm)</x:v>
      </x:c>
      <x:c r="D2" t="str">
        <x:v>EV ($mm)</x:v>
      </x:c>
      <x:c r="E2" t="str">
        <x:v>EV/revenue</x:v>
      </x:c>
      <x:c r="F2" t="str">
        <x:v>Notes</x:v>
      </x:c>
    </x:row>
    <x:row r="3">
      <x:c r="A3" t="str">
        <x:v>Interactive Brokers</x:v>
      </x:c>
      <x:c r="B3" t="str">
        <x:v>IBKR</x:v>
      </x:c>
      <x:c r="C3"/>
      <x:c r="D3"/>
      <x:c r="E3" t="str">
        <x:f>IFERROR(D3/C3,"")</x:f>
      </x:c>
      <x:c r="F3" t="str">
        <x:v>Trading/commissions, different institutional mix</x:v>
      </x:c>
    </x:row>
    <x:row r="4">
      <x:c r="A4" t="str">
        <x:v>Charles Schwab</x:v>
      </x:c>
      <x:c r="B4" t="str">
        <x:v>SCHW</x:v>
      </x:c>
      <x:c r="C4"/>
      <x:c r="D4"/>
      <x:c r="E4" t="str">
        <x:f>IFERROR(D4/C4,"")</x:f>
      </x:c>
      <x:c r="F4" t="str">
        <x:v>Brokerage, banking and asset-based income</x:v>
      </x:c>
    </x:row>
    <x:row r="5">
      <x:c r="A5" t="str">
        <x:v>SoFi Technologies</x:v>
      </x:c>
      <x:c r="B5" t="str">
        <x:v>SOFI</x:v>
      </x:c>
      <x:c r="C5"/>
      <x:c r="D5"/>
      <x:c r="E5" t="str">
        <x:f>IFERROR(D5/C5,"")</x:f>
      </x:c>
      <x:c r="F5" t="str">
        <x:v>Consumer-fintech cross-check; different credit risk</x:v>
      </x:c>
    </x:row>
    <x:row r="6">
      <x:c r="A6" t="str">
        <x:v>Robinhood</x:v>
      </x:c>
      <x:c r="B6" t="str">
        <x:v>HOOD</x:v>
      </x:c>
      <x:c r="C6" t="n">
        <x:f>Historicals!F8</x:f>
        <x:v>4932</x:v>
      </x:c>
      <x:c r="D6" t="n">
        <x:f>Inputs!B12+Inputs!B11-Inputs!B10</x:f>
        <x:v>86977.44</x:v>
      </x:c>
      <x:c r="E6" t="n">
        <x:f>IFERROR(D6/C6,"")</x:f>
        <x:v>17.635328467153286</x:v>
      </x:c>
      <x:c r="F6" t="str">
        <x:v>Financial enterprise-value comparability needs normalization</x:v>
      </x:c>
    </x:row>
    <x:row r="7">
      <x:c r="A7" t="str">
        <x:v>Peer median EV / revenue</x:v>
      </x:c>
      <x:c r="B7"/>
      <x:c r="C7"/>
      <x:c r="D7"/>
      <x:c r="E7" t="n">
        <x:f>IFERROR(MEDIAN(E3:E6),"")</x:f>
        <x:v>17.635328467153286</x:v>
      </x:c>
      <x:c r="F7" t="str">
        <x:v>Populate verified same-date market capitalization, debt and excess cash</x:v>
      </x:c>
    </x:row>
    <x:row r="8">
      <x:c r="A8" t="str">
        <x:v>Indicated Robinhood EV ($mm)</x:v>
      </x:c>
      <x:c r="B8"/>
      <x:c r="C8"/>
      <x:c r="D8" t="n">
        <x:f>IFERROR(C6*E7,"")</x:f>
        <x:v>86977.44</x:v>
      </x:c>
      <x:c r="E8"/>
      <x:c r="F8" t="str">
        <x:v>Reference only</x:v>
      </x:c>
    </x:row>
    <x:row r="9">
      <x:c r="A9" t="str">
        <x:v>Implied equity/share</x:v>
      </x:c>
      <x:c r="B9"/>
      <x:c r="C9"/>
      <x:c r="D9" t="n">
        <x:f>IFERROR((D8+Inputs!B10-Inputs!B11)/Inputs!B9,"")</x:f>
        <x:v>98.87</x:v>
      </x:c>
      <x:c r="E9"/>
      <x:c r="F9" t="str">
        <x:v>Not a target until peers and adjustments populated</x:v>
      </x:c>
    </x:row>
    <x:row r="10">
      <x:c r="A10" t="str">
        <x:v>Data integrity note</x:v>
      </x:c>
      <x:c r="B10" t="str">
        <x:v>Blank market fields intentionally not fabricated; comparisons require as-of-date aligned data.</x:v>
      </x:c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47" hidden="0" customWidth="1"/>
    <x:col min="2" max="2" width="22" hidden="0" customWidth="1"/>
    <x:col min="3" max="3" width="34" hidden="0" customWidth="1"/>
    <x:col min="4" max="4" width="27" hidden="0" customWidth="1"/>
  </x:cols>
  <x:sheetData>
    <x:row r="1">
      <x:c r="A1" s="92" t="str">
        <x:v>Technical checks and open items</x:v>
      </x:c>
      <x:c r="B1" s="92"/>
      <x:c r="C1" s="92"/>
      <x:c r="D1" s="92"/>
      <x:c r="E1" s="92"/>
      <x:c r="F1" s="92"/>
      <x:c r="G1" s="92"/>
      <x:c r="H1" s="92"/>
    </x:row>
    <x:row r="2">
      <x:c r="A2" t="str">
        <x:v>Reported FY2025 revenue to historical</x:v>
      </x:c>
      <x:c r="B2" t="n">
        <x:f>Historicals!C8-4473</x:f>
        <x:v>0</x:v>
      </x:c>
      <x:c r="C2" t="str">
        <x:v>PASS when zero</x:v>
      </x:c>
    </x:row>
    <x:row r="3">
      <x:c r="A3" t="str">
        <x:v>Probability weights sum to 100%</x:v>
      </x:c>
      <x:c r="B3" t="n">
        <x:f>SUM(Inputs!B58:B60)-1</x:f>
        <x:v>0</x:v>
      </x:c>
      <x:c r="C3" t="str">
        <x:v>PASS when zero</x:v>
      </x:c>
    </x:row>
    <x:row r="4">
      <x:c r="A4" t="str">
        <x:v>Base DCF reconciles to summary</x:v>
      </x:c>
      <x:c r="B4" t="n">
        <x:f>DCF!M14-Summary!B6</x:f>
        <x:v>0</x:v>
      </x:c>
      <x:c r="C4" t="str">
        <x:v>PASS when zero</x:v>
      </x:c>
    </x:row>
    <x:row r="5">
      <x:c r="A5" t="str">
        <x:v>Sensitivity center to DCF</x:v>
      </x:c>
      <x:c r="B5" t="n">
        <x:f>Sensitivity!E7-DCF!M14</x:f>
        <x:v>0</x:v>
      </x:c>
      <x:c r="C5" t="str">
        <x:v>PASS when zero</x:v>
      </x:c>
    </x:row>
    <x:row r="6">
      <x:c r="A6" t="str">
        <x:v>Convertible shares treatment</x:v>
      </x:c>
      <x:c r="B6" t="str">
        <x:v>OPEN</x:v>
      </x:c>
      <x:c r="C6" t="str">
        <x:v>Requires current instrument notes and share bridge</x:v>
      </x:c>
    </x:row>
    <x:row r="7">
      <x:c r="A7" t="str">
        <x:v>Q3 actual financials</x:v>
      </x:c>
      <x:c r="B7" t="str">
        <x:v>NOT RELEASED</x:v>
      </x:c>
      <x:c r="C7" t="str">
        <x:v>As of 2026-10-17, Q3 filing unavailable</x:v>
      </x:c>
    </x:row>
    <x:row r="8">
      <x:c r="A8" t="str">
        <x:v>Regulatory capital / brokerage DCF</x:v>
      </x:c>
      <x:c r="B8" t="str">
        <x:v>OPEN</x:v>
      </x:c>
      <x:c r="C8" t="str">
        <x:v>Add an excess-capital/equity-based cross-check</x:v>
      </x:c>
    </x:row>
    <x:row r="9">
      <x:c r="A9" t="str">
        <x:v>Market data for peers</x:v>
      </x:c>
      <x:c r="B9" t="str">
        <x:v>OPEN</x:v>
      </x:c>
      <x:c r="C9" t="str">
        <x:v>Do not publish populated multiples without date-aligned quotes</x:v>
      </x:c>
    </x:row>
    <x:row r="10">
      <x:c r="A10" t="str">
        <x:v>Citation and model provenance</x:v>
      </x:c>
      <x:c r="B10" t="str">
        <x:v>SOURCE</x:v>
      </x:c>
      <x:c r="C10" t="str">
        <x:v>Reported numbers from company IR / SEC; assumptions in Inputs</x:v>
      </x:c>
    </x:row>
    <x:row r="11">
      <x:c r="A11" t="str">
        <x:v>Cash flow seasonality</x:v>
      </x:c>
      <x:c r="B11" t="str">
        <x:v>OPEN</x:v>
      </x:c>
      <x:c r="C11" t="str">
        <x:v>Stub uses analyst approximations; do not quote as reported</x:v>
      </x:c>
    </x:row>
    <x:row r="12">
      <x:c r="A12" t="str">
        <x:v>Source</x:v>
      </x:c>
      <x:c r="B12" t="str">
        <x:v>https://investors.robinhood.com/news-releases/news-release-details/robinhood-reports-second-quarter-2026-results</x:v>
      </x:c>
    </x:row>
  </x:sheetData>
  <x:pageMargins left="0.7" right="0.7" top="0.75" bottom="0.75" header="0.3" footer="0.3"/>
</x:worksheet>
</file>