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Inputs" sheetId="2" state="visible" r:id="rId4"/>
    <sheet name="Historicals" sheetId="3" state="visible" r:id="rId5"/>
    <sheet name="DCF" sheetId="4" state="visible" r:id="rId6"/>
    <sheet name="Sensitivity" sheetId="5" state="visible" r:id="rId7"/>
    <sheet name="Source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<sst xmlns="http://schemas.openxmlformats.org/spreadsheetml/2006/main" count="336" uniqueCount="198">
  <si>
    <t xml:space="preserve">Robinhood Markets (NASDAQ: HOOD) — DCF Valuation</t>
  </si>
  <si>
    <t xml:space="preserve">Independent portfolio project by Paul Carram. As of October 17, 2026. Educational sample analysis — not investment advice. No position held.</t>
  </si>
  <si>
    <t xml:space="preserve">Scenario</t>
  </si>
  <si>
    <t xml:space="preserve">Value / share</t>
  </si>
  <si>
    <t xml:space="preserve">Upside</t>
  </si>
  <si>
    <t xml:space="preserve">Probability</t>
  </si>
  <si>
    <t xml:space="preserve">Enterprise value ($mm)</t>
  </si>
  <si>
    <t xml:space="preserve">Bear case</t>
  </si>
  <si>
    <t xml:space="preserve">Base case</t>
  </si>
  <si>
    <t xml:space="preserve">Bull case</t>
  </si>
  <si>
    <t xml:space="preserve">Probability-weighted value per share</t>
  </si>
  <si>
    <t xml:space="preserve">Current share price (Oct 16, 2026 close)</t>
  </si>
  <si>
    <t xml:space="preserve">Implied upside / (downside)</t>
  </si>
  <si>
    <t xml:space="preserve">Model rating (±15% band)</t>
  </si>
  <si>
    <t xml:space="preserve">WACC</t>
  </si>
  <si>
    <t xml:space="preserve">Terminal growth</t>
  </si>
  <si>
    <t xml:space="preserve">Base-case terminal value % of EV</t>
  </si>
  <si>
    <t xml:space="preserve">Market cap ($mm)</t>
  </si>
  <si>
    <t xml:space="preserve">Reverse DCF (goal seek, base margins): $98.87 implies ~25% revenue CAGR 2026E–2033E to ~$24.9bn (base case: ~13% to ~$12.2bn). Static result — rerun goal seek if inputs change.</t>
  </si>
  <si>
    <t xml:space="preserve">Color key</t>
  </si>
  <si>
    <t xml:space="preserve">Hard-coded input</t>
  </si>
  <si>
    <t xml:space="preserve">Formula</t>
  </si>
  <si>
    <t xml:space="preserve">Link to another sheet</t>
  </si>
  <si>
    <t xml:space="preserve">Key assumption / lever</t>
  </si>
  <si>
    <t xml:space="preserve">How to use: change blue cells on Inputs (scenario growth, opex %, beta, ERP, terminal growth). Every output recalculates.</t>
  </si>
  <si>
    <t xml:space="preserve">Robinhood Markets (NASDAQ: HOOD) — Inputs &amp; Assumptions</t>
  </si>
  <si>
    <t xml:space="preserve">$ in millions except per-share data. Blue = hard-coded input; black = formula; green = link to another sheet. Yellow = key lever.</t>
  </si>
  <si>
    <t xml:space="preserve">Market data &amp; capital structure</t>
  </si>
  <si>
    <t xml:space="preserve">Item</t>
  </si>
  <si>
    <t xml:space="preserve">Value</t>
  </si>
  <si>
    <t xml:space="preserve">Source / note</t>
  </si>
  <si>
    <t xml:space="preserve">Share price (close, Oct 16, 2026)</t>
  </si>
  <si>
    <t xml:space="preserve">Morningstar quote page, close Oct 16, 2026</t>
  </si>
  <si>
    <t xml:space="preserve">Valuation date</t>
  </si>
  <si>
    <t xml:space="preserve">Analysis date</t>
  </si>
  <si>
    <t xml:space="preserve">Fiscal year end (FY2026)</t>
  </si>
  <si>
    <t xml:space="preserve">Company fiscal year = calendar year</t>
  </si>
  <si>
    <t xml:space="preserve">Diluted shares (mm)</t>
  </si>
  <si>
    <t xml:space="preserve">Q2 2026 weighted-avg diluted shares, Q2 2026 earnings release (Form 8-K Ex. 99.1)</t>
  </si>
  <si>
    <t xml:space="preserve">Cash &amp; cash equivalents (Jun 30, 2026)</t>
  </si>
  <si>
    <t xml:space="preserve">Condensed balance sheet, Q2 2026 release. Excludes segregated/customer cash</t>
  </si>
  <si>
    <t xml:space="preserve">Debt: 0.00% convertible notes due 2029 (carrying)</t>
  </si>
  <si>
    <t xml:space="preserve">Long-term borrowings, Jun 30, 2026; $2.2bn principal, conv. price $174.42 (out of the money)</t>
  </si>
  <si>
    <t xml:space="preserve">Market capitalization</t>
  </si>
  <si>
    <t xml:space="preserve">Stub fraction of FY2026 remaining</t>
  </si>
  <si>
    <t xml:space="preserve">Only Q4 2026 cash flow after the valuation date is counted</t>
  </si>
  <si>
    <t xml:space="preserve">Discount rate (WACC)</t>
  </si>
  <si>
    <t xml:space="preserve">Risk-free rate (10-yr UST)</t>
  </si>
  <si>
    <t xml:space="preserve">10-yr Treasury yield 5.09% on Oct 16, 2026 (Trading Economics)</t>
  </si>
  <si>
    <t xml:space="preserve">Equity risk premium</t>
  </si>
  <si>
    <t xml:space="preserve">Assumption: implied US ERP range of ~4–5%</t>
  </si>
  <si>
    <t xml:space="preserve">Levered beta</t>
  </si>
  <si>
    <t xml:space="preserve">Assumption: HOOD's raw beta is well above 2 (high retail/crypto sensitivity); 1.5 blends toward broker/exchange peers as revenue diversifies</t>
  </si>
  <si>
    <t xml:space="preserve">Cost of equity (CAPM)</t>
  </si>
  <si>
    <t xml:space="preserve">Pre-tax cost of debt</t>
  </si>
  <si>
    <t xml:space="preserve">Assumption: straight-debt equivalent for a 0% convertible (coupon understates true cost)</t>
  </si>
  <si>
    <t xml:space="preserve">Tax rate (normalized)</t>
  </si>
  <si>
    <t xml:space="preserve">Assumption: 21% federal + state; reported 2025 rate was depressed by NOL usage</t>
  </si>
  <si>
    <t xml:space="preserve">After-tax cost of debt</t>
  </si>
  <si>
    <t xml:space="preserve">Equity weight (market)</t>
  </si>
  <si>
    <t xml:space="preserve">Debt weight (market)</t>
  </si>
  <si>
    <t xml:space="preserve">Terminal growth rate</t>
  </si>
  <si>
    <t xml:space="preserve">Assumption: nominal GDP-plus; reflects continued share gain at maturity</t>
  </si>
  <si>
    <t xml:space="preserve">Operating assumptions (all scenarios)</t>
  </si>
  <si>
    <t xml:space="preserve">D&amp;A (% of revenue)</t>
  </si>
  <si>
    <t xml:space="preserve">FY2025 D&amp;A $86mm = 1.9% of revenue; H1 2026 1.9%</t>
  </si>
  <si>
    <t xml:space="preserve">Capex incl. capitalized software (% of revenue)</t>
  </si>
  <si>
    <t xml:space="preserve">FY2025 $54mm = 1.2%; H1 2026 $42mm = 1.8%</t>
  </si>
  <si>
    <t xml:space="preserve">Other operating investment (% of revenue growth)</t>
  </si>
  <si>
    <t xml:space="preserve">Proxy for customer match incentives &amp; working capital; customer balances are pass-through and excluded</t>
  </si>
  <si>
    <t xml:space="preserve">Scenario assumptions — annual growth by revenue line and GAAP opex % of revenue</t>
  </si>
  <si>
    <t xml:space="preserve">GAAP opex includes SBC and provision for credit losses (SBC treated as a real cost — not added back).</t>
  </si>
  <si>
    <t xml:space="preserve">2026E</t>
  </si>
  <si>
    <t xml:space="preserve">2027E</t>
  </si>
  <si>
    <t xml:space="preserve">2028E</t>
  </si>
  <si>
    <t xml:space="preserve">2029E</t>
  </si>
  <si>
    <t xml:space="preserve">2030E</t>
  </si>
  <si>
    <t xml:space="preserve">2031E</t>
  </si>
  <si>
    <t xml:space="preserve">2032E</t>
  </si>
  <si>
    <t xml:space="preserve">2033E</t>
  </si>
  <si>
    <t xml:space="preserve">Retail activity normalizes, crypto stays weak, rate cuts compress NII, prediction markets restricted</t>
  </si>
  <si>
    <t xml:space="preserve">Transaction-based revenue growth</t>
  </si>
  <si>
    <t xml:space="preserve">Net interest revenue growth</t>
  </si>
  <si>
    <t xml:space="preserve">Other revenue growth (Gold, Card, Trump Accts, advisory)</t>
  </si>
  <si>
    <t xml:space="preserve">GAAP opex as % of revenue</t>
  </si>
  <si>
    <t xml:space="preserve">Share gains continue but fade; margin book drives NII; Gold/Card/Trump Accounts scale</t>
  </si>
  <si>
    <t xml:space="preserve">'Financial SuperApp' works: international, banking, advisory, tokenization all scale</t>
  </si>
  <si>
    <t xml:space="preserve">FY2026E reflects H1 2026 actuals (revenue +24% y/y) and Q3/Q4 2025 comps; 2026 opex anchored to guidance of $2.675–2.775bn adj. opex + SBC plus credit losses and one-offs.</t>
  </si>
  <si>
    <t xml:space="preserve">Scenario probability weights</t>
  </si>
  <si>
    <t xml:space="preserve">Bear probability</t>
  </si>
  <si>
    <t xml:space="preserve">Base probability</t>
  </si>
  <si>
    <t xml:space="preserve">Bull probability</t>
  </si>
  <si>
    <t xml:space="preserve">Check: weights sum to 100%</t>
  </si>
  <si>
    <t xml:space="preserve">Historical Financials (GAAP, $mm)</t>
  </si>
  <si>
    <t xml:space="preserve">LTM Jun-26 = FY2025 + H1 2026 − H1 2025. Figures from company earnings releases (Form 8-K Ex. 99.1).</t>
  </si>
  <si>
    <t xml:space="preserve">FY2024</t>
  </si>
  <si>
    <t xml:space="preserve">FY2025</t>
  </si>
  <si>
    <t xml:space="preserve">H1 2025</t>
  </si>
  <si>
    <t xml:space="preserve">H1 2026</t>
  </si>
  <si>
    <t xml:space="preserve">LTM Jun-26</t>
  </si>
  <si>
    <t xml:space="preserve">Transaction-based revenues</t>
  </si>
  <si>
    <t xml:space="preserve">Net interest revenues</t>
  </si>
  <si>
    <t xml:space="preserve">Other revenues</t>
  </si>
  <si>
    <t xml:space="preserve">Total net revenues</t>
  </si>
  <si>
    <t xml:space="preserve">  Growth y/y</t>
  </si>
  <si>
    <t xml:space="preserve">Brokerage and transaction</t>
  </si>
  <si>
    <t xml:space="preserve">Technology and development</t>
  </si>
  <si>
    <t xml:space="preserve">Operations</t>
  </si>
  <si>
    <t xml:space="preserve">Provision for credit losses</t>
  </si>
  <si>
    <t xml:space="preserve">Marketing</t>
  </si>
  <si>
    <t xml:space="preserve">General and administrative</t>
  </si>
  <si>
    <t xml:space="preserve">Total operating expenses</t>
  </si>
  <si>
    <t xml:space="preserve">  Opex % of revenue</t>
  </si>
  <si>
    <t xml:space="preserve">Operating income (EBIT)</t>
  </si>
  <si>
    <t xml:space="preserve">  EBIT margin</t>
  </si>
  <si>
    <t xml:space="preserve">Other income, net</t>
  </si>
  <si>
    <t xml:space="preserve">Income before taxes</t>
  </si>
  <si>
    <t xml:space="preserve">Provision for (benefit from) income taxes</t>
  </si>
  <si>
    <t xml:space="preserve">Net income</t>
  </si>
  <si>
    <t xml:space="preserve">Memo: share-based compensation</t>
  </si>
  <si>
    <t xml:space="preserve">Memo: depreciation &amp; amortization</t>
  </si>
  <si>
    <t xml:space="preserve">Memo: capex + capitalized software</t>
  </si>
  <si>
    <t xml:space="preserve">Memo: Adjusted EBITDA (company non-GAAP)</t>
  </si>
  <si>
    <t xml:space="preserve">  Adj. EBITDA margin</t>
  </si>
  <si>
    <t xml:space="preserve">Check: net income vs. reported (FY24 $1,411 / FY25 $1,883 / H1'25 $722 / H1'26 $919)</t>
  </si>
  <si>
    <t xml:space="preserve">Key operating metrics (company-reported)</t>
  </si>
  <si>
    <t xml:space="preserve">Metric</t>
  </si>
  <si>
    <t xml:space="preserve">Q4 2025</t>
  </si>
  <si>
    <t xml:space="preserve">Q2 2026</t>
  </si>
  <si>
    <t xml:space="preserve">Funded customers (mm)</t>
  </si>
  <si>
    <t xml:space="preserve">Robinhood Gold subscribers (mm)</t>
  </si>
  <si>
    <t xml:space="preserve">Total Platform Assets ($bn)</t>
  </si>
  <si>
    <t xml:space="preserve">Quarterly net deposits ($bn)</t>
  </si>
  <si>
    <t xml:space="preserve">ARPU (annualized, $)</t>
  </si>
  <si>
    <t xml:space="preserve">Margin book ($bn)</t>
  </si>
  <si>
    <t xml:space="preserve">Post-quarter: net deposits $5.6bn (Jul-26) and $4.0bn (Aug-26), i.e. 18% and 14% annualized vs. 28% in Q2 — monthly operating data releases.</t>
  </si>
  <si>
    <t xml:space="preserve">Discounted Cash Flow — Unlevered Free Cash Flow ($mm)</t>
  </si>
  <si>
    <t xml:space="preserve">Mid-period discounting from the valuation date. FY2026E counts only the post-valuation-date stub. Terminal value by Gordon growth at end of FY2033.</t>
  </si>
  <si>
    <t xml:space="preserve">BASE CASE</t>
  </si>
  <si>
    <t xml:space="preserve">FY2025A</t>
  </si>
  <si>
    <t xml:space="preserve">Base valuation</t>
  </si>
  <si>
    <t xml:space="preserve">Sum of PV of FCF</t>
  </si>
  <si>
    <t xml:space="preserve">Terminal-year FCF (FY2033E)</t>
  </si>
  <si>
    <t xml:space="preserve">Terminal value (end FY2033)</t>
  </si>
  <si>
    <t xml:space="preserve">PV of terminal value</t>
  </si>
  <si>
    <t xml:space="preserve">Enterprise value</t>
  </si>
  <si>
    <t xml:space="preserve">GAAP operating expenses</t>
  </si>
  <si>
    <t xml:space="preserve">(+) Cash</t>
  </si>
  <si>
    <t xml:space="preserve">EBIT</t>
  </si>
  <si>
    <t xml:space="preserve">(−) Convertible notes</t>
  </si>
  <si>
    <t xml:space="preserve">Equity value</t>
  </si>
  <si>
    <t xml:space="preserve">Taxes on EBIT</t>
  </si>
  <si>
    <t xml:space="preserve">NOPAT</t>
  </si>
  <si>
    <t xml:space="preserve">Implied value per share</t>
  </si>
  <si>
    <t xml:space="preserve">(+) D&amp;A</t>
  </si>
  <si>
    <t xml:space="preserve">Current share price</t>
  </si>
  <si>
    <t xml:space="preserve">(−) Capex</t>
  </si>
  <si>
    <t xml:space="preserve">Upside / (downside)</t>
  </si>
  <si>
    <t xml:space="preserve">(−) Other operating investment</t>
  </si>
  <si>
    <t xml:space="preserve">Terminal value % of EV</t>
  </si>
  <si>
    <t xml:space="preserve">Unlevered free cash flow</t>
  </si>
  <si>
    <t xml:space="preserve">Implied terminal EV / NTM EBITDA</t>
  </si>
  <si>
    <t xml:space="preserve">  FCF margin</t>
  </si>
  <si>
    <t xml:space="preserve">Implied EV / FY2027E EBIT (today)</t>
  </si>
  <si>
    <t xml:space="preserve">Fraction of year counted</t>
  </si>
  <si>
    <t xml:space="preserve">Market EV / FY2027E EBIT (today)</t>
  </si>
  <si>
    <t xml:space="preserve">Discount period (years)</t>
  </si>
  <si>
    <t xml:space="preserve">Discount factor</t>
  </si>
  <si>
    <t xml:space="preserve">PV of FCF</t>
  </si>
  <si>
    <t xml:space="preserve">BEAR CASE</t>
  </si>
  <si>
    <t xml:space="preserve">Bear valuation</t>
  </si>
  <si>
    <t xml:space="preserve">BULL CASE</t>
  </si>
  <si>
    <t xml:space="preserve">Bull valuation</t>
  </si>
  <si>
    <t xml:space="preserve">Sensitivity — Base Case Implied Value per Share</t>
  </si>
  <si>
    <t xml:space="preserve">Each cell re-values the base-case cash flows at a different WACC / terminal growth rate. Shaded cell = model inputs.</t>
  </si>
  <si>
    <t xml:space="preserve">WACC ↓  /  Terminal growth →</t>
  </si>
  <si>
    <t xml:space="preserve">Reading the grid: no WACC / growth pair here reaches the current price. The gap is about growth expectations, not just the discount rate.</t>
  </si>
  <si>
    <t xml:space="preserve">Sources</t>
  </si>
  <si>
    <t xml:space="preserve">#</t>
  </si>
  <si>
    <t xml:space="preserve">Document</t>
  </si>
  <si>
    <t xml:space="preserve">URL</t>
  </si>
  <si>
    <t xml:space="preserve">Robinhood Q2 2026 results (Form 8-K Ex. 99.1), Jul 29, 2026</t>
  </si>
  <si>
    <t xml:space="preserve">https://www.sec.gov/Archives/edgar/data/0001783879/000178387926000113/q22026robinhoodexhibit991.htm</t>
  </si>
  <si>
    <t xml:space="preserve">Robinhood Q4 &amp; FY2025 results, Feb 10, 2026</t>
  </si>
  <si>
    <t xml:space="preserve">https://investors.robinhood.com/news-releases/news-release-details/robinhood-reports-fourth-quarter-and-full-year-2025-results</t>
  </si>
  <si>
    <t xml:space="preserve">Robinhood Form 10-Q, quarter ended Jun 30, 2026 (convertible notes)</t>
  </si>
  <si>
    <t xml:space="preserve">https://www.sec.gov/Archives/edgar/data/0001783879/000178387926000114/hood-20260630.htm</t>
  </si>
  <si>
    <t xml:space="preserve">Robinhood 8-K, convertible notes indenture, Jun 25, 2026</t>
  </si>
  <si>
    <t xml:space="preserve">https://www.sec.gov/Archives/edgar/data/0001783879/000178387926000077/hood-20260622.htm</t>
  </si>
  <si>
    <t xml:space="preserve">Robinhood July 2026 operating data</t>
  </si>
  <si>
    <t xml:space="preserve">https://investors.robinhood.com/news-releases/news-release-details/robinhood-markets-inc-reports-july-2026-operating-data</t>
  </si>
  <si>
    <t xml:space="preserve">Robinhood August 2026 operating data</t>
  </si>
  <si>
    <t xml:space="preserve">https://investors.robinhood.com/news-releases/news-release-details/robinhood-markets-inc-reports-august-2026-operating-data</t>
  </si>
  <si>
    <t xml:space="preserve">HOOD quote, Oct 16, 2026 close (Morningstar)</t>
  </si>
  <si>
    <t xml:space="preserve">https://www.morningstar.com/stocks/xnas/hood/quote</t>
  </si>
  <si>
    <t xml:space="preserve">US 10-year Treasury yield, Oct 16, 2026 (Trading Economics)</t>
  </si>
  <si>
    <t xml:space="preserve">https://tradingeconomics.com/united-states/government-bond-yield</t>
  </si>
  <si>
    <t xml:space="preserve">Disclaimer: Independent educational analysis. Not a recommendation to buy or sell any security. The author holds no position in HOOD. Projections are the author's assumptions and will differ from actual results.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</si>
</sst>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\$#,##0.00;&quot;($&quot;#,##0.00\);\-"/>
    <numFmt numFmtId="166" formatCode="0.0%;\(0.0%\);\-"/>
    <numFmt numFmtId="167" formatCode="\$#,##0;&quot;($&quot;#,##0\);\-"/>
    <numFmt numFmtId="168" formatCode="mmm\ d&quot;, &quot;yyyy"/>
    <numFmt numFmtId="169" formatCode="#,##0;\(#,##0\);\-"/>
    <numFmt numFmtId="170" formatCode="0.00"/>
    <numFmt numFmtId="171" formatCode="#,##0.0;\(#,##0.0\);\-"/>
    <numFmt numFmtId="172" formatCode="\$#,##0.0"/>
    <numFmt numFmtId="173" formatCode="0.0\x"/>
    <numFmt numFmtId="174" formatCode="0.0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788"/>
      <name val="Arial"/>
      <family val="0"/>
      <charset val="1"/>
    </font>
    <font>
      <i val="true"/>
      <sz val="10"/>
      <color rgb="FF44546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1F4788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788"/>
        <bgColor rgb="FF44546A"/>
      </patternFill>
    </fill>
    <fill>
      <patternFill patternType="solid">
        <fgColor rgb="FFE9EEF6"/>
        <bgColor rgb="FFFFFFF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A6A6A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9EE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A6A6A6"/>
      <rgbColor rgb="FF003366"/>
      <rgbColor rgb="FF339966"/>
      <rgbColor rgb="FF003300"/>
      <rgbColor rgb="FF333300"/>
      <rgbColor rgb="FF993300"/>
      <rgbColor rgb="FF993366"/>
      <rgbColor rgb="FF1F478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5" min="2" style="0" width="15"/>
    <col collapsed="false" customWidth="true" hidden="false" outlineLevel="0" max="6" min="6" style="0" width="5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customFormat="false" ht="15" hidden="false" customHeight="false" outlineLevel="0" collapsed="false">
      <c r="A5" s="5" t="s">
        <v>7</v>
      </c>
      <c r="B5" s="6" t="n">
        <f aca="false">DCF!$M$36</f>
        <v>31.6207907410809</v>
      </c>
      <c r="C5" s="7" t="n">
        <f aca="false">DCF!$M$38</f>
        <v>-0.680178105177699</v>
      </c>
      <c r="D5" s="7" t="n">
        <f aca="false">Inputs!$B$58</f>
        <v>0.25</v>
      </c>
      <c r="E5" s="8" t="n">
        <f aca="false">DCF!$M$31</f>
        <v>25646.1611558658</v>
      </c>
    </row>
    <row r="6" customFormat="false" ht="15" hidden="false" customHeight="false" outlineLevel="0" collapsed="false">
      <c r="A6" s="9" t="s">
        <v>8</v>
      </c>
      <c r="B6" s="6" t="n">
        <f aca="false">DCF!$M$14</f>
        <v>54.7269097100846</v>
      </c>
      <c r="C6" s="7" t="n">
        <f aca="false">DCF!$M$16</f>
        <v>-0.446476082632906</v>
      </c>
      <c r="D6" s="7" t="n">
        <f aca="false">Inputs!$B$59</f>
        <v>0.5</v>
      </c>
      <c r="E6" s="8" t="n">
        <f aca="false">DCF!$M$9</f>
        <v>46718.9416555971</v>
      </c>
    </row>
    <row r="7" customFormat="false" ht="15" hidden="false" customHeight="false" outlineLevel="0" collapsed="false">
      <c r="A7" s="5" t="s">
        <v>9</v>
      </c>
      <c r="B7" s="6" t="n">
        <f aca="false">DCF!$M$58</f>
        <v>83.468981045122</v>
      </c>
      <c r="C7" s="7" t="n">
        <f aca="false">DCF!$M$60</f>
        <v>-0.15577039501242</v>
      </c>
      <c r="D7" s="7" t="n">
        <f aca="false">Inputs!$B$60</f>
        <v>0.25</v>
      </c>
      <c r="E7" s="8" t="n">
        <f aca="false">DCF!$M$53</f>
        <v>72931.7107131513</v>
      </c>
    </row>
    <row r="8" customFormat="false" ht="15" hidden="false" customHeight="false" outlineLevel="0" collapsed="false">
      <c r="A8" s="10" t="s">
        <v>10</v>
      </c>
      <c r="B8" s="11" t="n">
        <f aca="false">SUMPRODUCT(B5:B7,D5:D7)</f>
        <v>56.135897801593</v>
      </c>
    </row>
    <row r="9" customFormat="false" ht="15" hidden="false" customHeight="false" outlineLevel="0" collapsed="false">
      <c r="A9" s="5" t="s">
        <v>11</v>
      </c>
      <c r="B9" s="6" t="n">
        <f aca="false">Inputs!$B$6</f>
        <v>98.87</v>
      </c>
    </row>
    <row r="10" customFormat="false" ht="15" hidden="false" customHeight="false" outlineLevel="0" collapsed="false">
      <c r="A10" s="10" t="s">
        <v>12</v>
      </c>
      <c r="B10" s="12" t="n">
        <f aca="false">B8/B9-1</f>
        <v>-0.432225166363983</v>
      </c>
    </row>
    <row r="11" customFormat="false" ht="15" hidden="false" customHeight="false" outlineLevel="0" collapsed="false">
      <c r="A11" s="10" t="s">
        <v>13</v>
      </c>
      <c r="B11" s="9" t="str">
        <f aca="false">IF(B10&gt;0.15,"OUTPERFORM",IF(B10&lt;-0.15,"UNDERPERFORM","MARKET PERFORM"))</f>
        <v>UNDERPERFORM</v>
      </c>
    </row>
    <row r="13" customFormat="false" ht="15" hidden="false" customHeight="false" outlineLevel="0" collapsed="false">
      <c r="A13" s="5" t="s">
        <v>14</v>
      </c>
      <c r="B13" s="7" t="n">
        <f aca="false">Inputs!$B$26</f>
        <v>0.116717382041736</v>
      </c>
    </row>
    <row r="14" customFormat="false" ht="15" hidden="false" customHeight="false" outlineLevel="0" collapsed="false">
      <c r="A14" s="5" t="s">
        <v>15</v>
      </c>
      <c r="B14" s="7" t="n">
        <f aca="false">Inputs!$B$27</f>
        <v>0.04</v>
      </c>
    </row>
    <row r="15" customFormat="false" ht="15" hidden="false" customHeight="false" outlineLevel="0" collapsed="false">
      <c r="A15" s="5" t="s">
        <v>16</v>
      </c>
      <c r="B15" s="7" t="n">
        <f aca="false">DCF!$M$17</f>
        <v>0.647703063791107</v>
      </c>
    </row>
    <row r="16" customFormat="false" ht="15" hidden="false" customHeight="false" outlineLevel="0" collapsed="false">
      <c r="A16" s="5" t="s">
        <v>17</v>
      </c>
      <c r="B16" s="8" t="n">
        <f aca="false">Inputs!B12</f>
        <v>90169.44</v>
      </c>
    </row>
    <row r="17" customFormat="false" ht="15" hidden="false" customHeight="false" outlineLevel="0" collapsed="false">
      <c r="A17" s="2" t="s">
        <v>18</v>
      </c>
    </row>
    <row r="18" customFormat="false" ht="15" hidden="false" customHeight="false" outlineLevel="0" collapsed="false">
      <c r="A18" s="13" t="s">
        <v>19</v>
      </c>
    </row>
    <row r="19" customFormat="false" ht="15" hidden="false" customHeight="false" outlineLevel="0" collapsed="false">
      <c r="A19" s="14" t="s">
        <v>20</v>
      </c>
    </row>
    <row r="20" customFormat="false" ht="15" hidden="false" customHeight="false" outlineLevel="0" collapsed="false">
      <c r="A20" s="5" t="s">
        <v>21</v>
      </c>
    </row>
    <row r="21" customFormat="false" ht="15" hidden="false" customHeight="false" outlineLevel="0" collapsed="false">
      <c r="A21" s="15" t="s">
        <v>22</v>
      </c>
    </row>
    <row r="22" customFormat="false" ht="15" hidden="false" customHeight="false" outlineLevel="0" collapsed="false">
      <c r="A22" s="16" t="s">
        <v>23</v>
      </c>
    </row>
    <row r="24" customFormat="false" ht="15" hidden="false" customHeight="false" outlineLevel="0" collapsed="false">
      <c r="A24" s="2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3"/>
    <col collapsed="false" customWidth="true" hidden="false" outlineLevel="0" max="10" min="3" style="0" width="12"/>
    <col collapsed="false" customWidth="true" hidden="false" outlineLevel="0" max="11" min="11" style="0" width="60"/>
  </cols>
  <sheetData>
    <row r="1" customFormat="false" ht="19.7" hidden="false" customHeight="false" outlineLevel="0" collapsed="false">
      <c r="A1" s="1" t="s">
        <v>25</v>
      </c>
    </row>
    <row r="2" customFormat="false" ht="15" hidden="false" customHeight="false" outlineLevel="0" collapsed="false">
      <c r="A2" s="2" t="s">
        <v>26</v>
      </c>
    </row>
    <row r="4" customFormat="false" ht="15" hidden="false" customHeight="false" outlineLevel="0" collapsed="false">
      <c r="A4" s="13" t="s">
        <v>27</v>
      </c>
    </row>
    <row r="5" customFormat="false" ht="15" hidden="false" customHeight="false" outlineLevel="0" collapsed="false">
      <c r="A5" s="3" t="s">
        <v>28</v>
      </c>
      <c r="B5" s="4" t="s">
        <v>29</v>
      </c>
      <c r="C5" s="4"/>
      <c r="D5" s="4"/>
      <c r="E5" s="4"/>
      <c r="F5" s="4"/>
      <c r="G5" s="4"/>
      <c r="H5" s="4"/>
      <c r="I5" s="4"/>
      <c r="J5" s="4"/>
      <c r="K5" s="4" t="s">
        <v>30</v>
      </c>
    </row>
    <row r="6" customFormat="false" ht="15" hidden="false" customHeight="false" outlineLevel="0" collapsed="false">
      <c r="A6" s="5" t="s">
        <v>31</v>
      </c>
      <c r="B6" s="17" t="n">
        <v>98.87</v>
      </c>
      <c r="K6" s="2" t="s">
        <v>32</v>
      </c>
    </row>
    <row r="7" customFormat="false" ht="15" hidden="false" customHeight="false" outlineLevel="0" collapsed="false">
      <c r="A7" s="5" t="s">
        <v>33</v>
      </c>
      <c r="B7" s="18" t="n">
        <f aca="false">DATE(2026,10,17)</f>
        <v>46312</v>
      </c>
      <c r="K7" s="2" t="s">
        <v>34</v>
      </c>
    </row>
    <row r="8" customFormat="false" ht="15" hidden="false" customHeight="false" outlineLevel="0" collapsed="false">
      <c r="A8" s="5" t="s">
        <v>35</v>
      </c>
      <c r="B8" s="18" t="n">
        <f aca="false">DATE(2026,12,31)</f>
        <v>46387</v>
      </c>
      <c r="K8" s="2" t="s">
        <v>36</v>
      </c>
    </row>
    <row r="9" customFormat="false" ht="15" hidden="false" customHeight="false" outlineLevel="0" collapsed="false">
      <c r="A9" s="5" t="s">
        <v>37</v>
      </c>
      <c r="B9" s="19" t="n">
        <v>912</v>
      </c>
      <c r="K9" s="2" t="s">
        <v>38</v>
      </c>
    </row>
    <row r="10" customFormat="false" ht="15" hidden="false" customHeight="false" outlineLevel="0" collapsed="false">
      <c r="A10" s="5" t="s">
        <v>39</v>
      </c>
      <c r="B10" s="20" t="n">
        <v>5362</v>
      </c>
      <c r="K10" s="2" t="s">
        <v>40</v>
      </c>
    </row>
    <row r="11" customFormat="false" ht="15" hidden="false" customHeight="false" outlineLevel="0" collapsed="false">
      <c r="A11" s="5" t="s">
        <v>41</v>
      </c>
      <c r="B11" s="20" t="n">
        <v>2170</v>
      </c>
      <c r="K11" s="2" t="s">
        <v>42</v>
      </c>
    </row>
    <row r="12" customFormat="false" ht="15" hidden="false" customHeight="false" outlineLevel="0" collapsed="false">
      <c r="A12" s="5" t="s">
        <v>43</v>
      </c>
      <c r="B12" s="21" t="n">
        <f aca="false">B6*B9</f>
        <v>90169.44</v>
      </c>
    </row>
    <row r="13" customFormat="false" ht="15" hidden="false" customHeight="false" outlineLevel="0" collapsed="false">
      <c r="A13" s="5" t="s">
        <v>44</v>
      </c>
      <c r="B13" s="22" t="n">
        <f aca="false">(B8-B7)/365</f>
        <v>0.205479452054795</v>
      </c>
      <c r="K13" s="2" t="s">
        <v>45</v>
      </c>
    </row>
    <row r="15" customFormat="false" ht="15" hidden="false" customHeight="false" outlineLevel="0" collapsed="false">
      <c r="A15" s="13" t="s">
        <v>46</v>
      </c>
    </row>
    <row r="16" customFormat="false" ht="15" hidden="false" customHeight="false" outlineLevel="0" collapsed="false">
      <c r="A16" s="3" t="s">
        <v>28</v>
      </c>
      <c r="B16" s="4" t="s">
        <v>29</v>
      </c>
      <c r="C16" s="4"/>
      <c r="D16" s="4"/>
      <c r="E16" s="4"/>
      <c r="F16" s="4"/>
      <c r="G16" s="4"/>
      <c r="H16" s="4"/>
      <c r="I16" s="4"/>
      <c r="J16" s="4"/>
      <c r="K16" s="4" t="s">
        <v>30</v>
      </c>
    </row>
    <row r="17" customFormat="false" ht="15" hidden="false" customHeight="false" outlineLevel="0" collapsed="false">
      <c r="A17" s="5" t="s">
        <v>47</v>
      </c>
      <c r="B17" s="23" t="n">
        <v>0.0509</v>
      </c>
      <c r="K17" s="2" t="s">
        <v>48</v>
      </c>
    </row>
    <row r="18" customFormat="false" ht="15" hidden="false" customHeight="false" outlineLevel="0" collapsed="false">
      <c r="A18" s="5" t="s">
        <v>49</v>
      </c>
      <c r="B18" s="24" t="n">
        <v>0.045</v>
      </c>
      <c r="K18" s="2" t="s">
        <v>50</v>
      </c>
    </row>
    <row r="19" customFormat="false" ht="15" hidden="false" customHeight="false" outlineLevel="0" collapsed="false">
      <c r="A19" s="5" t="s">
        <v>51</v>
      </c>
      <c r="B19" s="25" t="n">
        <v>1.5</v>
      </c>
      <c r="K19" s="2" t="s">
        <v>52</v>
      </c>
    </row>
    <row r="20" customFormat="false" ht="15" hidden="false" customHeight="false" outlineLevel="0" collapsed="false">
      <c r="A20" s="5" t="s">
        <v>53</v>
      </c>
      <c r="B20" s="26" t="n">
        <f aca="false">B17+B19*B18</f>
        <v>0.1184</v>
      </c>
    </row>
    <row r="21" customFormat="false" ht="15" hidden="false" customHeight="false" outlineLevel="0" collapsed="false">
      <c r="A21" s="5" t="s">
        <v>54</v>
      </c>
      <c r="B21" s="23" t="n">
        <v>0.06</v>
      </c>
      <c r="K21" s="2" t="s">
        <v>55</v>
      </c>
    </row>
    <row r="22" customFormat="false" ht="15" hidden="false" customHeight="false" outlineLevel="0" collapsed="false">
      <c r="A22" s="5" t="s">
        <v>56</v>
      </c>
      <c r="B22" s="23" t="n">
        <v>0.22</v>
      </c>
      <c r="K22" s="2" t="s">
        <v>57</v>
      </c>
    </row>
    <row r="23" customFormat="false" ht="15" hidden="false" customHeight="false" outlineLevel="0" collapsed="false">
      <c r="A23" s="5" t="s">
        <v>58</v>
      </c>
      <c r="B23" s="26" t="n">
        <f aca="false">B21*(1-B22)</f>
        <v>0.0468</v>
      </c>
    </row>
    <row r="24" customFormat="false" ht="15" hidden="false" customHeight="false" outlineLevel="0" collapsed="false">
      <c r="A24" s="5" t="s">
        <v>59</v>
      </c>
      <c r="B24" s="26" t="n">
        <f aca="false">B12/(B12+B11)</f>
        <v>0.976499749186263</v>
      </c>
    </row>
    <row r="25" customFormat="false" ht="15" hidden="false" customHeight="false" outlineLevel="0" collapsed="false">
      <c r="A25" s="5" t="s">
        <v>60</v>
      </c>
      <c r="B25" s="26" t="n">
        <f aca="false">B11/(B12+B11)</f>
        <v>0.0235002508137368</v>
      </c>
    </row>
    <row r="26" customFormat="false" ht="15" hidden="false" customHeight="false" outlineLevel="0" collapsed="false">
      <c r="A26" s="9" t="s">
        <v>14</v>
      </c>
      <c r="B26" s="12" t="n">
        <f aca="false">B24*B20+B25*B23</f>
        <v>0.116717382041736</v>
      </c>
    </row>
    <row r="27" customFormat="false" ht="15" hidden="false" customHeight="false" outlineLevel="0" collapsed="false">
      <c r="A27" s="5" t="s">
        <v>61</v>
      </c>
      <c r="B27" s="24" t="n">
        <v>0.04</v>
      </c>
      <c r="K27" s="2" t="s">
        <v>62</v>
      </c>
    </row>
    <row r="29" customFormat="false" ht="15" hidden="false" customHeight="false" outlineLevel="0" collapsed="false">
      <c r="A29" s="13" t="s">
        <v>63</v>
      </c>
    </row>
    <row r="30" customFormat="false" ht="15" hidden="false" customHeight="false" outlineLevel="0" collapsed="false">
      <c r="A30" s="3" t="s">
        <v>28</v>
      </c>
      <c r="B30" s="4" t="s">
        <v>29</v>
      </c>
      <c r="C30" s="4"/>
      <c r="D30" s="4"/>
      <c r="E30" s="4"/>
      <c r="F30" s="4"/>
      <c r="G30" s="4"/>
      <c r="H30" s="4"/>
      <c r="I30" s="4"/>
      <c r="J30" s="4"/>
      <c r="K30" s="4" t="s">
        <v>30</v>
      </c>
    </row>
    <row r="31" customFormat="false" ht="15" hidden="false" customHeight="false" outlineLevel="0" collapsed="false">
      <c r="A31" s="5" t="s">
        <v>64</v>
      </c>
      <c r="B31" s="23" t="n">
        <v>0.017</v>
      </c>
      <c r="K31" s="2" t="s">
        <v>65</v>
      </c>
    </row>
    <row r="32" customFormat="false" ht="15" hidden="false" customHeight="false" outlineLevel="0" collapsed="false">
      <c r="A32" s="5" t="s">
        <v>66</v>
      </c>
      <c r="B32" s="23" t="n">
        <v>0.015</v>
      </c>
      <c r="K32" s="2" t="s">
        <v>67</v>
      </c>
    </row>
    <row r="33" customFormat="false" ht="15" hidden="false" customHeight="false" outlineLevel="0" collapsed="false">
      <c r="A33" s="5" t="s">
        <v>68</v>
      </c>
      <c r="B33" s="23" t="n">
        <v>0.05</v>
      </c>
      <c r="K33" s="2" t="s">
        <v>69</v>
      </c>
    </row>
    <row r="35" customFormat="false" ht="15" hidden="false" customHeight="false" outlineLevel="0" collapsed="false">
      <c r="A35" s="13" t="s">
        <v>70</v>
      </c>
    </row>
    <row r="36" customFormat="false" ht="15" hidden="false" customHeight="false" outlineLevel="0" collapsed="false">
      <c r="A36" s="2" t="s">
        <v>71</v>
      </c>
    </row>
    <row r="38" customFormat="false" ht="15" hidden="false" customHeight="false" outlineLevel="0" collapsed="false">
      <c r="A38" s="3" t="s">
        <v>7</v>
      </c>
      <c r="B38" s="4"/>
      <c r="C38" s="4" t="s">
        <v>72</v>
      </c>
      <c r="D38" s="4" t="s">
        <v>73</v>
      </c>
      <c r="E38" s="4" t="s">
        <v>74</v>
      </c>
      <c r="F38" s="4" t="s">
        <v>75</v>
      </c>
      <c r="G38" s="4" t="s">
        <v>76</v>
      </c>
      <c r="H38" s="4" t="s">
        <v>77</v>
      </c>
      <c r="I38" s="4" t="s">
        <v>78</v>
      </c>
      <c r="J38" s="4" t="s">
        <v>79</v>
      </c>
      <c r="K38" s="3" t="s">
        <v>80</v>
      </c>
    </row>
    <row r="39" customFormat="false" ht="15" hidden="false" customHeight="false" outlineLevel="0" collapsed="false">
      <c r="A39" s="5" t="s">
        <v>81</v>
      </c>
      <c r="C39" s="23" t="n">
        <v>0.15</v>
      </c>
      <c r="D39" s="23" t="n">
        <v>0.03</v>
      </c>
      <c r="E39" s="23" t="n">
        <v>0.06</v>
      </c>
      <c r="F39" s="23" t="n">
        <v>0.06</v>
      </c>
      <c r="G39" s="23" t="n">
        <v>0.05</v>
      </c>
      <c r="H39" s="23" t="n">
        <v>0.05</v>
      </c>
      <c r="I39" s="23" t="n">
        <v>0.04</v>
      </c>
      <c r="J39" s="23" t="n">
        <v>0.04</v>
      </c>
    </row>
    <row r="40" customFormat="false" ht="15" hidden="false" customHeight="false" outlineLevel="0" collapsed="false">
      <c r="A40" s="5" t="s">
        <v>82</v>
      </c>
      <c r="C40" s="23" t="n">
        <v>0.06</v>
      </c>
      <c r="D40" s="23" t="n">
        <v>0</v>
      </c>
      <c r="E40" s="23" t="n">
        <v>0.04</v>
      </c>
      <c r="F40" s="23" t="n">
        <v>0.05</v>
      </c>
      <c r="G40" s="23" t="n">
        <v>0.05</v>
      </c>
      <c r="H40" s="23" t="n">
        <v>0.04</v>
      </c>
      <c r="I40" s="23" t="n">
        <v>0.04</v>
      </c>
      <c r="J40" s="23" t="n">
        <v>0.03</v>
      </c>
    </row>
    <row r="41" customFormat="false" ht="15" hidden="false" customHeight="false" outlineLevel="0" collapsed="false">
      <c r="A41" s="5" t="s">
        <v>83</v>
      </c>
      <c r="C41" s="23" t="n">
        <v>0.5</v>
      </c>
      <c r="D41" s="23" t="n">
        <v>0.25</v>
      </c>
      <c r="E41" s="23" t="n">
        <v>0.18</v>
      </c>
      <c r="F41" s="23" t="n">
        <v>0.14</v>
      </c>
      <c r="G41" s="23" t="n">
        <v>0.11</v>
      </c>
      <c r="H41" s="23" t="n">
        <v>0.09</v>
      </c>
      <c r="I41" s="23" t="n">
        <v>0.07</v>
      </c>
      <c r="J41" s="23" t="n">
        <v>0.06</v>
      </c>
    </row>
    <row r="42" customFormat="false" ht="15" hidden="false" customHeight="false" outlineLevel="0" collapsed="false">
      <c r="A42" s="5" t="s">
        <v>84</v>
      </c>
      <c r="C42" s="23" t="n">
        <v>0.575</v>
      </c>
      <c r="D42" s="23" t="n">
        <v>0.6</v>
      </c>
      <c r="E42" s="23" t="n">
        <v>0.59</v>
      </c>
      <c r="F42" s="23" t="n">
        <v>0.58</v>
      </c>
      <c r="G42" s="23" t="n">
        <v>0.57</v>
      </c>
      <c r="H42" s="23" t="n">
        <v>0.56</v>
      </c>
      <c r="I42" s="23" t="n">
        <v>0.56</v>
      </c>
      <c r="J42" s="23" t="n">
        <v>0.56</v>
      </c>
    </row>
    <row r="44" customFormat="false" ht="15" hidden="false" customHeight="false" outlineLevel="0" collapsed="false">
      <c r="A44" s="3" t="s">
        <v>8</v>
      </c>
      <c r="B44" s="4"/>
      <c r="C44" s="4" t="s">
        <v>72</v>
      </c>
      <c r="D44" s="4" t="s">
        <v>73</v>
      </c>
      <c r="E44" s="4" t="s">
        <v>74</v>
      </c>
      <c r="F44" s="4" t="s">
        <v>75</v>
      </c>
      <c r="G44" s="4" t="s">
        <v>76</v>
      </c>
      <c r="H44" s="4" t="s">
        <v>77</v>
      </c>
      <c r="I44" s="4" t="s">
        <v>78</v>
      </c>
      <c r="J44" s="4" t="s">
        <v>79</v>
      </c>
      <c r="K44" s="3" t="s">
        <v>85</v>
      </c>
    </row>
    <row r="45" customFormat="false" ht="15" hidden="false" customHeight="false" outlineLevel="0" collapsed="false">
      <c r="A45" s="5" t="s">
        <v>81</v>
      </c>
      <c r="C45" s="23" t="n">
        <v>0.18</v>
      </c>
      <c r="D45" s="23" t="n">
        <v>0.18</v>
      </c>
      <c r="E45" s="23" t="n">
        <v>0.15</v>
      </c>
      <c r="F45" s="23" t="n">
        <v>0.13</v>
      </c>
      <c r="G45" s="23" t="n">
        <v>0.11</v>
      </c>
      <c r="H45" s="23" t="n">
        <v>0.09</v>
      </c>
      <c r="I45" s="23" t="n">
        <v>0.08</v>
      </c>
      <c r="J45" s="23" t="n">
        <v>0.07</v>
      </c>
    </row>
    <row r="46" customFormat="false" ht="15" hidden="false" customHeight="false" outlineLevel="0" collapsed="false">
      <c r="A46" s="5" t="s">
        <v>82</v>
      </c>
      <c r="C46" s="23" t="n">
        <v>0.08</v>
      </c>
      <c r="D46" s="23" t="n">
        <v>0.14</v>
      </c>
      <c r="E46" s="23" t="n">
        <v>0.12</v>
      </c>
      <c r="F46" s="23" t="n">
        <v>0.11</v>
      </c>
      <c r="G46" s="23" t="n">
        <v>0.1</v>
      </c>
      <c r="H46" s="23" t="n">
        <v>0.09</v>
      </c>
      <c r="I46" s="23" t="n">
        <v>0.08</v>
      </c>
      <c r="J46" s="23" t="n">
        <v>0.07</v>
      </c>
    </row>
    <row r="47" customFormat="false" ht="15" hidden="false" customHeight="false" outlineLevel="0" collapsed="false">
      <c r="A47" s="5" t="s">
        <v>83</v>
      </c>
      <c r="C47" s="23" t="n">
        <v>0.55</v>
      </c>
      <c r="D47" s="23" t="n">
        <v>0.45</v>
      </c>
      <c r="E47" s="23" t="n">
        <v>0.35</v>
      </c>
      <c r="F47" s="23" t="n">
        <v>0.28</v>
      </c>
      <c r="G47" s="23" t="n">
        <v>0.22</v>
      </c>
      <c r="H47" s="23" t="n">
        <v>0.18</v>
      </c>
      <c r="I47" s="23" t="n">
        <v>0.15</v>
      </c>
      <c r="J47" s="23" t="n">
        <v>0.12</v>
      </c>
    </row>
    <row r="48" customFormat="false" ht="15" hidden="false" customHeight="false" outlineLevel="0" collapsed="false">
      <c r="A48" s="5" t="s">
        <v>84</v>
      </c>
      <c r="C48" s="23" t="n">
        <v>0.565</v>
      </c>
      <c r="D48" s="23" t="n">
        <v>0.545</v>
      </c>
      <c r="E48" s="23" t="n">
        <v>0.53</v>
      </c>
      <c r="F48" s="23" t="n">
        <v>0.515</v>
      </c>
      <c r="G48" s="23" t="n">
        <v>0.505</v>
      </c>
      <c r="H48" s="23" t="n">
        <v>0.495</v>
      </c>
      <c r="I48" s="23" t="n">
        <v>0.485</v>
      </c>
      <c r="J48" s="23" t="n">
        <v>0.48</v>
      </c>
    </row>
    <row r="50" customFormat="false" ht="15" hidden="false" customHeight="false" outlineLevel="0" collapsed="false">
      <c r="A50" s="3" t="s">
        <v>9</v>
      </c>
      <c r="B50" s="4"/>
      <c r="C50" s="4" t="s">
        <v>72</v>
      </c>
      <c r="D50" s="4" t="s">
        <v>73</v>
      </c>
      <c r="E50" s="4" t="s">
        <v>74</v>
      </c>
      <c r="F50" s="4" t="s">
        <v>75</v>
      </c>
      <c r="G50" s="4" t="s">
        <v>76</v>
      </c>
      <c r="H50" s="4" t="s">
        <v>77</v>
      </c>
      <c r="I50" s="4" t="s">
        <v>78</v>
      </c>
      <c r="J50" s="4" t="s">
        <v>79</v>
      </c>
      <c r="K50" s="3" t="s">
        <v>86</v>
      </c>
    </row>
    <row r="51" customFormat="false" ht="15" hidden="false" customHeight="false" outlineLevel="0" collapsed="false">
      <c r="A51" s="5" t="s">
        <v>81</v>
      </c>
      <c r="C51" s="23" t="n">
        <v>0.18</v>
      </c>
      <c r="D51" s="23" t="n">
        <v>0.28</v>
      </c>
      <c r="E51" s="23" t="n">
        <v>0.24</v>
      </c>
      <c r="F51" s="23" t="n">
        <v>0.2</v>
      </c>
      <c r="G51" s="23" t="n">
        <v>0.17</v>
      </c>
      <c r="H51" s="23" t="n">
        <v>0.15</v>
      </c>
      <c r="I51" s="23" t="n">
        <v>0.13</v>
      </c>
      <c r="J51" s="23" t="n">
        <v>0.11</v>
      </c>
    </row>
    <row r="52" customFormat="false" ht="15" hidden="false" customHeight="false" outlineLevel="0" collapsed="false">
      <c r="A52" s="5" t="s">
        <v>82</v>
      </c>
      <c r="C52" s="23" t="n">
        <v>0.08</v>
      </c>
      <c r="D52" s="23" t="n">
        <v>0.2</v>
      </c>
      <c r="E52" s="23" t="n">
        <v>0.18</v>
      </c>
      <c r="F52" s="23" t="n">
        <v>0.15</v>
      </c>
      <c r="G52" s="23" t="n">
        <v>0.13</v>
      </c>
      <c r="H52" s="23" t="n">
        <v>0.11</v>
      </c>
      <c r="I52" s="23" t="n">
        <v>0.1</v>
      </c>
      <c r="J52" s="23" t="n">
        <v>0.09</v>
      </c>
    </row>
    <row r="53" customFormat="false" ht="15" hidden="false" customHeight="false" outlineLevel="0" collapsed="false">
      <c r="A53" s="5" t="s">
        <v>83</v>
      </c>
      <c r="C53" s="23" t="n">
        <v>0.55</v>
      </c>
      <c r="D53" s="23" t="n">
        <v>0.6</v>
      </c>
      <c r="E53" s="23" t="n">
        <v>0.5</v>
      </c>
      <c r="F53" s="23" t="n">
        <v>0.4</v>
      </c>
      <c r="G53" s="23" t="n">
        <v>0.32</v>
      </c>
      <c r="H53" s="23" t="n">
        <v>0.26</v>
      </c>
      <c r="I53" s="23" t="n">
        <v>0.21</v>
      </c>
      <c r="J53" s="23" t="n">
        <v>0.17</v>
      </c>
    </row>
    <row r="54" customFormat="false" ht="15" hidden="false" customHeight="false" outlineLevel="0" collapsed="false">
      <c r="A54" s="5" t="s">
        <v>84</v>
      </c>
      <c r="C54" s="23" t="n">
        <v>0.565</v>
      </c>
      <c r="D54" s="23" t="n">
        <v>0.52</v>
      </c>
      <c r="E54" s="23" t="n">
        <v>0.49</v>
      </c>
      <c r="F54" s="23" t="n">
        <v>0.465</v>
      </c>
      <c r="G54" s="23" t="n">
        <v>0.445</v>
      </c>
      <c r="H54" s="23" t="n">
        <v>0.43</v>
      </c>
      <c r="I54" s="23" t="n">
        <v>0.42</v>
      </c>
      <c r="J54" s="23" t="n">
        <v>0.42</v>
      </c>
    </row>
    <row r="56" customFormat="false" ht="15" hidden="false" customHeight="false" outlineLevel="0" collapsed="false">
      <c r="A56" s="2" t="s">
        <v>87</v>
      </c>
    </row>
    <row r="57" customFormat="false" ht="15" hidden="false" customHeight="false" outlineLevel="0" collapsed="false">
      <c r="A57" s="13" t="s">
        <v>88</v>
      </c>
    </row>
    <row r="58" customFormat="false" ht="15" hidden="false" customHeight="false" outlineLevel="0" collapsed="false">
      <c r="A58" s="5" t="s">
        <v>89</v>
      </c>
      <c r="B58" s="23" t="n">
        <v>0.25</v>
      </c>
    </row>
    <row r="59" customFormat="false" ht="15" hidden="false" customHeight="false" outlineLevel="0" collapsed="false">
      <c r="A59" s="5" t="s">
        <v>90</v>
      </c>
      <c r="B59" s="23" t="n">
        <v>0.5</v>
      </c>
    </row>
    <row r="60" customFormat="false" ht="15" hidden="false" customHeight="false" outlineLevel="0" collapsed="false">
      <c r="A60" s="5" t="s">
        <v>91</v>
      </c>
      <c r="B60" s="23" t="n">
        <v>0.25</v>
      </c>
    </row>
    <row r="61" customFormat="false" ht="15" hidden="false" customHeight="false" outlineLevel="0" collapsed="false">
      <c r="A61" s="5" t="s">
        <v>92</v>
      </c>
      <c r="B61" s="5" t="str">
        <f aca="false">IF(ABS(SUM(B58:B60)-1)&lt;0.0001,"OK","ERROR")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5" min="2" style="0" width="12"/>
    <col collapsed="false" customWidth="true" hidden="false" outlineLevel="0" max="6" min="6" style="0" width="13"/>
    <col collapsed="false" customWidth="true" hidden="false" outlineLevel="0" max="7" min="7" style="0" width="4"/>
    <col collapsed="false" customWidth="true" hidden="false" outlineLevel="0" max="8" min="8" style="0" width="60"/>
  </cols>
  <sheetData>
    <row r="1" customFormat="false" ht="19.7" hidden="false" customHeight="false" outlineLevel="0" collapsed="false">
      <c r="A1" s="1" t="s">
        <v>93</v>
      </c>
    </row>
    <row r="2" customFormat="false" ht="15" hidden="false" customHeight="false" outlineLevel="0" collapsed="false">
      <c r="A2" s="2" t="s">
        <v>94</v>
      </c>
    </row>
    <row r="4" customFormat="false" ht="15" hidden="false" customHeight="false" outlineLevel="0" collapsed="false">
      <c r="A4" s="3"/>
      <c r="B4" s="4" t="s">
        <v>95</v>
      </c>
      <c r="C4" s="4" t="s">
        <v>96</v>
      </c>
      <c r="D4" s="4" t="s">
        <v>97</v>
      </c>
      <c r="E4" s="4" t="s">
        <v>98</v>
      </c>
      <c r="F4" s="4" t="s">
        <v>99</v>
      </c>
    </row>
    <row r="5" customFormat="false" ht="15" hidden="false" customHeight="false" outlineLevel="0" collapsed="false">
      <c r="A5" s="5" t="s">
        <v>100</v>
      </c>
      <c r="B5" s="20" t="n">
        <v>1647</v>
      </c>
      <c r="C5" s="20" t="n">
        <v>2628</v>
      </c>
      <c r="D5" s="20" t="n">
        <v>1122</v>
      </c>
      <c r="E5" s="20" t="n">
        <v>1399</v>
      </c>
      <c r="F5" s="21" t="n">
        <f aca="false">C5-D5+E5</f>
        <v>2905</v>
      </c>
    </row>
    <row r="6" customFormat="false" ht="15" hidden="false" customHeight="false" outlineLevel="0" collapsed="false">
      <c r="A6" s="5" t="s">
        <v>101</v>
      </c>
      <c r="B6" s="20" t="n">
        <v>1109</v>
      </c>
      <c r="C6" s="20" t="n">
        <v>1514</v>
      </c>
      <c r="D6" s="20" t="n">
        <v>647</v>
      </c>
      <c r="E6" s="20" t="n">
        <v>748</v>
      </c>
      <c r="F6" s="21" t="n">
        <f aca="false">C6-D6+E6</f>
        <v>1615</v>
      </c>
    </row>
    <row r="7" customFormat="false" ht="15" hidden="false" customHeight="false" outlineLevel="0" collapsed="false">
      <c r="A7" s="5" t="s">
        <v>102</v>
      </c>
      <c r="B7" s="20" t="n">
        <v>195</v>
      </c>
      <c r="C7" s="20" t="n">
        <v>331</v>
      </c>
      <c r="D7" s="20" t="n">
        <v>147</v>
      </c>
      <c r="E7" s="20" t="n">
        <v>228</v>
      </c>
      <c r="F7" s="21" t="n">
        <f aca="false">C7-D7+E7</f>
        <v>412</v>
      </c>
    </row>
    <row r="8" customFormat="false" ht="15" hidden="false" customHeight="false" outlineLevel="0" collapsed="false">
      <c r="A8" s="9" t="s">
        <v>103</v>
      </c>
      <c r="B8" s="27" t="n">
        <f aca="false">SUM(B5:B7)</f>
        <v>2951</v>
      </c>
      <c r="C8" s="27" t="n">
        <f aca="false">SUM(C5:C7)</f>
        <v>4473</v>
      </c>
      <c r="D8" s="27" t="n">
        <f aca="false">SUM(D5:D7)</f>
        <v>1916</v>
      </c>
      <c r="E8" s="27" t="n">
        <f aca="false">SUM(E5:E7)</f>
        <v>2375</v>
      </c>
      <c r="F8" s="27" t="n">
        <f aca="false">SUM(F5:F7)</f>
        <v>4932</v>
      </c>
    </row>
    <row r="9" customFormat="false" ht="15" hidden="false" customHeight="false" outlineLevel="0" collapsed="false">
      <c r="A9" s="5" t="s">
        <v>104</v>
      </c>
      <c r="C9" s="26" t="n">
        <f aca="false">C8/B8-1</f>
        <v>0.515757370382921</v>
      </c>
      <c r="E9" s="26" t="n">
        <f aca="false">E8/D8-1</f>
        <v>0.239561586638831</v>
      </c>
    </row>
    <row r="10" customFormat="false" ht="15" hidden="false" customHeight="false" outlineLevel="0" collapsed="false">
      <c r="A10" s="5"/>
    </row>
    <row r="11" customFormat="false" ht="15" hidden="false" customHeight="false" outlineLevel="0" collapsed="false">
      <c r="A11" s="5" t="s">
        <v>105</v>
      </c>
      <c r="B11" s="20" t="n">
        <v>164</v>
      </c>
      <c r="C11" s="20" t="n">
        <v>211</v>
      </c>
      <c r="D11" s="20" t="n">
        <v>98</v>
      </c>
      <c r="E11" s="20" t="n">
        <v>122</v>
      </c>
      <c r="F11" s="21" t="n">
        <f aca="false">C11-D11+E11</f>
        <v>235</v>
      </c>
    </row>
    <row r="12" customFormat="false" ht="15" hidden="false" customHeight="false" outlineLevel="0" collapsed="false">
      <c r="A12" s="5" t="s">
        <v>106</v>
      </c>
      <c r="B12" s="20" t="n">
        <v>818</v>
      </c>
      <c r="C12" s="20" t="n">
        <v>897</v>
      </c>
      <c r="D12" s="20" t="n">
        <v>428</v>
      </c>
      <c r="E12" s="20" t="n">
        <v>497</v>
      </c>
      <c r="F12" s="21" t="n">
        <f aca="false">C12-D12+E12</f>
        <v>966</v>
      </c>
    </row>
    <row r="13" customFormat="false" ht="15" hidden="false" customHeight="false" outlineLevel="0" collapsed="false">
      <c r="A13" s="5" t="s">
        <v>107</v>
      </c>
      <c r="B13" s="20" t="n">
        <v>112</v>
      </c>
      <c r="C13" s="20" t="n">
        <v>130</v>
      </c>
      <c r="D13" s="20" t="n">
        <v>60</v>
      </c>
      <c r="E13" s="20" t="n">
        <v>95</v>
      </c>
      <c r="F13" s="21" t="n">
        <f aca="false">C13-D13+E13</f>
        <v>165</v>
      </c>
    </row>
    <row r="14" customFormat="false" ht="15" hidden="false" customHeight="false" outlineLevel="0" collapsed="false">
      <c r="A14" s="5" t="s">
        <v>108</v>
      </c>
      <c r="B14" s="20" t="n">
        <v>76</v>
      </c>
      <c r="C14" s="20" t="n">
        <v>114</v>
      </c>
      <c r="D14" s="20" t="n">
        <v>52</v>
      </c>
      <c r="E14" s="20" t="n">
        <v>92</v>
      </c>
      <c r="F14" s="21" t="n">
        <f aca="false">C14-D14+E14</f>
        <v>154</v>
      </c>
    </row>
    <row r="15" customFormat="false" ht="15" hidden="false" customHeight="false" outlineLevel="0" collapsed="false">
      <c r="A15" s="5" t="s">
        <v>109</v>
      </c>
      <c r="B15" s="20" t="n">
        <v>272</v>
      </c>
      <c r="C15" s="20" t="n">
        <v>399</v>
      </c>
      <c r="D15" s="20" t="n">
        <v>204</v>
      </c>
      <c r="E15" s="20" t="n">
        <v>211</v>
      </c>
      <c r="F15" s="21" t="n">
        <f aca="false">C15-D15+E15</f>
        <v>406</v>
      </c>
    </row>
    <row r="16" customFormat="false" ht="15" hidden="false" customHeight="false" outlineLevel="0" collapsed="false">
      <c r="A16" s="5" t="s">
        <v>110</v>
      </c>
      <c r="B16" s="20" t="n">
        <v>455</v>
      </c>
      <c r="C16" s="20" t="n">
        <v>628</v>
      </c>
      <c r="D16" s="20" t="n">
        <v>265</v>
      </c>
      <c r="E16" s="20" t="n">
        <v>373</v>
      </c>
      <c r="F16" s="21" t="n">
        <f aca="false">C16-D16+E16</f>
        <v>736</v>
      </c>
    </row>
    <row r="17" customFormat="false" ht="15" hidden="false" customHeight="false" outlineLevel="0" collapsed="false">
      <c r="A17" s="9" t="s">
        <v>111</v>
      </c>
      <c r="B17" s="27" t="n">
        <f aca="false">SUM(B11:B16)</f>
        <v>1897</v>
      </c>
      <c r="C17" s="27" t="n">
        <f aca="false">SUM(C11:C16)</f>
        <v>2379</v>
      </c>
      <c r="D17" s="27" t="n">
        <f aca="false">SUM(D11:D16)</f>
        <v>1107</v>
      </c>
      <c r="E17" s="27" t="n">
        <f aca="false">SUM(E11:E16)</f>
        <v>1390</v>
      </c>
      <c r="F17" s="27" t="n">
        <f aca="false">SUM(F11:F16)</f>
        <v>2662</v>
      </c>
    </row>
    <row r="18" customFormat="false" ht="15" hidden="false" customHeight="false" outlineLevel="0" collapsed="false">
      <c r="A18" s="5" t="s">
        <v>112</v>
      </c>
      <c r="B18" s="26" t="n">
        <f aca="false">B17/B8</f>
        <v>0.642832937987123</v>
      </c>
      <c r="C18" s="26" t="n">
        <f aca="false">C17/C8</f>
        <v>0.531857813547954</v>
      </c>
      <c r="D18" s="26" t="n">
        <f aca="false">D17/D8</f>
        <v>0.57776617954071</v>
      </c>
      <c r="E18" s="26" t="n">
        <f aca="false">E17/E8</f>
        <v>0.585263157894737</v>
      </c>
      <c r="F18" s="26" t="n">
        <f aca="false">F17/F8</f>
        <v>0.539740470397405</v>
      </c>
    </row>
    <row r="19" customFormat="false" ht="15" hidden="false" customHeight="false" outlineLevel="0" collapsed="false">
      <c r="A19" s="9" t="s">
        <v>113</v>
      </c>
      <c r="B19" s="27" t="n">
        <f aca="false">B8-B17</f>
        <v>1054</v>
      </c>
      <c r="C19" s="27" t="n">
        <f aca="false">C8-C17</f>
        <v>2094</v>
      </c>
      <c r="D19" s="27" t="n">
        <f aca="false">D8-D17</f>
        <v>809</v>
      </c>
      <c r="E19" s="27" t="n">
        <f aca="false">E8-E17</f>
        <v>985</v>
      </c>
      <c r="F19" s="27" t="n">
        <f aca="false">F8-F17</f>
        <v>2270</v>
      </c>
    </row>
    <row r="20" customFormat="false" ht="15" hidden="false" customHeight="false" outlineLevel="0" collapsed="false">
      <c r="A20" s="5" t="s">
        <v>114</v>
      </c>
      <c r="B20" s="26" t="n">
        <f aca="false">B19/B8</f>
        <v>0.357167062012877</v>
      </c>
      <c r="C20" s="26" t="n">
        <f aca="false">C19/C8</f>
        <v>0.468142186452046</v>
      </c>
      <c r="D20" s="26" t="n">
        <f aca="false">D19/D8</f>
        <v>0.42223382045929</v>
      </c>
      <c r="E20" s="26" t="n">
        <f aca="false">E19/E8</f>
        <v>0.414736842105263</v>
      </c>
      <c r="F20" s="26" t="n">
        <f aca="false">F19/F8</f>
        <v>0.460259529602595</v>
      </c>
    </row>
    <row r="21" customFormat="false" ht="15" hidden="false" customHeight="false" outlineLevel="0" collapsed="false">
      <c r="A21" s="5" t="s">
        <v>115</v>
      </c>
      <c r="B21" s="20" t="n">
        <v>10</v>
      </c>
      <c r="C21" s="20" t="n">
        <v>14</v>
      </c>
      <c r="D21" s="20" t="n">
        <v>4</v>
      </c>
      <c r="E21" s="20" t="n">
        <v>135</v>
      </c>
      <c r="F21" s="21" t="n">
        <f aca="false">C21-D21+E21</f>
        <v>145</v>
      </c>
    </row>
    <row r="22" customFormat="false" ht="15" hidden="false" customHeight="false" outlineLevel="0" collapsed="false">
      <c r="A22" s="5" t="s">
        <v>116</v>
      </c>
      <c r="B22" s="21" t="n">
        <f aca="false">B19+B21</f>
        <v>1064</v>
      </c>
      <c r="C22" s="21" t="n">
        <f aca="false">C19+C21</f>
        <v>2108</v>
      </c>
      <c r="D22" s="21" t="n">
        <f aca="false">D19+D21</f>
        <v>813</v>
      </c>
      <c r="E22" s="21" t="n">
        <f aca="false">E19+E21</f>
        <v>1120</v>
      </c>
      <c r="F22" s="21" t="n">
        <f aca="false">F19+F21</f>
        <v>2415</v>
      </c>
    </row>
    <row r="23" customFormat="false" ht="15" hidden="false" customHeight="false" outlineLevel="0" collapsed="false">
      <c r="A23" s="5" t="s">
        <v>117</v>
      </c>
      <c r="B23" s="20" t="n">
        <v>-347</v>
      </c>
      <c r="C23" s="20" t="n">
        <v>225</v>
      </c>
      <c r="D23" s="20" t="n">
        <v>91</v>
      </c>
      <c r="E23" s="20" t="n">
        <v>201</v>
      </c>
      <c r="F23" s="21" t="n">
        <f aca="false">C23-D23+E23</f>
        <v>335</v>
      </c>
    </row>
    <row r="24" customFormat="false" ht="15" hidden="false" customHeight="false" outlineLevel="0" collapsed="false">
      <c r="A24" s="9" t="s">
        <v>118</v>
      </c>
      <c r="B24" s="27" t="n">
        <f aca="false">B22-B23</f>
        <v>1411</v>
      </c>
      <c r="C24" s="27" t="n">
        <f aca="false">C22-C23</f>
        <v>1883</v>
      </c>
      <c r="D24" s="27" t="n">
        <f aca="false">D22-D23</f>
        <v>722</v>
      </c>
      <c r="E24" s="27" t="n">
        <f aca="false">E22-E23</f>
        <v>919</v>
      </c>
      <c r="F24" s="27" t="n">
        <f aca="false">F22-F23</f>
        <v>2080</v>
      </c>
    </row>
    <row r="25" customFormat="false" ht="15" hidden="false" customHeight="false" outlineLevel="0" collapsed="false">
      <c r="A25" s="5"/>
    </row>
    <row r="26" customFormat="false" ht="15" hidden="false" customHeight="false" outlineLevel="0" collapsed="false">
      <c r="A26" s="5" t="s">
        <v>119</v>
      </c>
      <c r="B26" s="20" t="n">
        <v>304</v>
      </c>
      <c r="C26" s="20" t="n">
        <v>305</v>
      </c>
      <c r="D26" s="20" t="n">
        <v>151</v>
      </c>
      <c r="E26" s="20" t="n">
        <v>197</v>
      </c>
      <c r="F26" s="21" t="n">
        <f aca="false">C26-D26+E26</f>
        <v>351</v>
      </c>
    </row>
    <row r="27" customFormat="false" ht="15" hidden="false" customHeight="false" outlineLevel="0" collapsed="false">
      <c r="A27" s="5" t="s">
        <v>120</v>
      </c>
      <c r="B27" s="20" t="n">
        <v>77</v>
      </c>
      <c r="C27" s="20" t="n">
        <v>86</v>
      </c>
      <c r="D27" s="20" t="n">
        <v>41</v>
      </c>
      <c r="E27" s="20" t="n">
        <v>46</v>
      </c>
      <c r="F27" s="21" t="n">
        <f aca="false">C27-D27+E27</f>
        <v>91</v>
      </c>
    </row>
    <row r="28" customFormat="false" ht="15" hidden="false" customHeight="false" outlineLevel="0" collapsed="false">
      <c r="A28" s="5" t="s">
        <v>121</v>
      </c>
      <c r="B28" s="20" t="n">
        <v>50</v>
      </c>
      <c r="C28" s="20" t="n">
        <v>54</v>
      </c>
      <c r="D28" s="20" t="n">
        <v>29</v>
      </c>
      <c r="E28" s="20" t="n">
        <v>42</v>
      </c>
      <c r="F28" s="21" t="n">
        <f aca="false">C28-D28+E28</f>
        <v>67</v>
      </c>
    </row>
    <row r="29" customFormat="false" ht="15" hidden="false" customHeight="false" outlineLevel="0" collapsed="false">
      <c r="A29" s="5" t="s">
        <v>122</v>
      </c>
      <c r="B29" s="20" t="n">
        <v>1429</v>
      </c>
      <c r="C29" s="20" t="n">
        <v>2522</v>
      </c>
      <c r="D29" s="20" t="n">
        <v>1019</v>
      </c>
      <c r="E29" s="20" t="n">
        <v>1275</v>
      </c>
      <c r="F29" s="21" t="n">
        <f aca="false">C29-D29+E29</f>
        <v>2778</v>
      </c>
    </row>
    <row r="30" customFormat="false" ht="15" hidden="false" customHeight="false" outlineLevel="0" collapsed="false">
      <c r="A30" s="5" t="s">
        <v>123</v>
      </c>
      <c r="B30" s="26" t="n">
        <f aca="false">B29/B8</f>
        <v>0.484242629617079</v>
      </c>
      <c r="C30" s="26" t="n">
        <f aca="false">C29/C8</f>
        <v>0.563827408897832</v>
      </c>
      <c r="D30" s="26" t="n">
        <f aca="false">D29/D8</f>
        <v>0.531837160751566</v>
      </c>
      <c r="E30" s="26" t="n">
        <f aca="false">E29/E8</f>
        <v>0.536842105263158</v>
      </c>
      <c r="F30" s="26" t="n">
        <f aca="false">F29/F8</f>
        <v>0.563260340632603</v>
      </c>
    </row>
    <row r="32" customFormat="false" ht="15" hidden="false" customHeight="false" outlineLevel="0" collapsed="false">
      <c r="A32" s="2" t="s">
        <v>124</v>
      </c>
      <c r="B32" s="5" t="str">
        <f aca="false">IF(B24=1411,"OK","CHECK")</f>
        <v>OK</v>
      </c>
      <c r="C32" s="5" t="str">
        <f aca="false">IF(C24=1883,"OK","CHECK")</f>
        <v>OK</v>
      </c>
      <c r="D32" s="5" t="str">
        <f aca="false">IF(D24=722,"OK","CHECK")</f>
        <v>OK</v>
      </c>
      <c r="E32" s="5" t="str">
        <f aca="false">IF(E24=919,"OK","CHECK")</f>
        <v>OK</v>
      </c>
    </row>
    <row r="34" customFormat="false" ht="15" hidden="false" customHeight="false" outlineLevel="0" collapsed="false">
      <c r="A34" s="13" t="s">
        <v>125</v>
      </c>
    </row>
    <row r="35" customFormat="false" ht="15" hidden="false" customHeight="false" outlineLevel="0" collapsed="false">
      <c r="A35" s="3" t="s">
        <v>126</v>
      </c>
      <c r="B35" s="4" t="s">
        <v>127</v>
      </c>
      <c r="C35" s="4" t="s">
        <v>128</v>
      </c>
      <c r="D35" s="4"/>
      <c r="E35" s="4"/>
      <c r="F35" s="4"/>
    </row>
    <row r="36" customFormat="false" ht="15" hidden="false" customHeight="false" outlineLevel="0" collapsed="false">
      <c r="A36" s="5" t="s">
        <v>129</v>
      </c>
      <c r="B36" s="28" t="n">
        <v>27</v>
      </c>
      <c r="C36" s="28" t="n">
        <v>28.4</v>
      </c>
    </row>
    <row r="37" customFormat="false" ht="15" hidden="false" customHeight="false" outlineLevel="0" collapsed="false">
      <c r="A37" s="5" t="s">
        <v>130</v>
      </c>
      <c r="B37" s="28" t="n">
        <v>4.2</v>
      </c>
      <c r="C37" s="28" t="n">
        <v>4.8</v>
      </c>
    </row>
    <row r="38" customFormat="false" ht="15" hidden="false" customHeight="false" outlineLevel="0" collapsed="false">
      <c r="A38" s="5" t="s">
        <v>131</v>
      </c>
      <c r="B38" s="20" t="n">
        <v>324</v>
      </c>
      <c r="C38" s="20" t="n">
        <v>369</v>
      </c>
    </row>
    <row r="39" customFormat="false" ht="15" hidden="false" customHeight="false" outlineLevel="0" collapsed="false">
      <c r="A39" s="5" t="s">
        <v>132</v>
      </c>
      <c r="B39" s="29" t="n">
        <v>15.9</v>
      </c>
      <c r="C39" s="29" t="n">
        <v>21.7</v>
      </c>
    </row>
    <row r="40" customFormat="false" ht="15" hidden="false" customHeight="false" outlineLevel="0" collapsed="false">
      <c r="A40" s="5" t="s">
        <v>133</v>
      </c>
      <c r="B40" s="20" t="n">
        <v>191</v>
      </c>
      <c r="C40" s="20" t="n">
        <v>187</v>
      </c>
    </row>
    <row r="41" customFormat="false" ht="15" hidden="false" customHeight="false" outlineLevel="0" collapsed="false">
      <c r="A41" s="5" t="s">
        <v>134</v>
      </c>
      <c r="B41" s="29" t="n">
        <v>16.8</v>
      </c>
      <c r="C41" s="29" t="n">
        <v>21.6</v>
      </c>
    </row>
    <row r="42" customFormat="false" ht="15" hidden="false" customHeight="false" outlineLevel="0" collapsed="false">
      <c r="A42" s="2" t="s">
        <v>135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2"/>
    <col collapsed="false" customWidth="true" hidden="false" outlineLevel="0" max="10" min="3" style="0" width="11.5"/>
    <col collapsed="false" customWidth="true" hidden="false" outlineLevel="0" max="11" min="11" style="0" width="4"/>
    <col collapsed="false" customWidth="true" hidden="false" outlineLevel="0" max="12" min="12" style="0" width="30"/>
    <col collapsed="false" customWidth="true" hidden="false" outlineLevel="0" max="13" min="13" style="0" width="13"/>
  </cols>
  <sheetData>
    <row r="1" customFormat="false" ht="19.7" hidden="false" customHeight="false" outlineLevel="0" collapsed="false">
      <c r="A1" s="1" t="s">
        <v>136</v>
      </c>
    </row>
    <row r="2" customFormat="false" ht="15" hidden="false" customHeight="false" outlineLevel="0" collapsed="false">
      <c r="A2" s="2" t="s">
        <v>137</v>
      </c>
    </row>
    <row r="4" customFormat="false" ht="15" hidden="false" customHeight="false" outlineLevel="0" collapsed="false">
      <c r="A4" s="3" t="s">
        <v>138</v>
      </c>
      <c r="B4" s="4" t="s">
        <v>139</v>
      </c>
      <c r="C4" s="4" t="s">
        <v>72</v>
      </c>
      <c r="D4" s="4" t="s">
        <v>73</v>
      </c>
      <c r="E4" s="4" t="s">
        <v>74</v>
      </c>
      <c r="F4" s="4" t="s">
        <v>75</v>
      </c>
      <c r="G4" s="4" t="s">
        <v>76</v>
      </c>
      <c r="H4" s="4" t="s">
        <v>77</v>
      </c>
      <c r="I4" s="4" t="s">
        <v>78</v>
      </c>
      <c r="J4" s="4" t="s">
        <v>79</v>
      </c>
      <c r="L4" s="30" t="s">
        <v>140</v>
      </c>
      <c r="M4" s="31"/>
    </row>
    <row r="5" customFormat="false" ht="15" hidden="false" customHeight="false" outlineLevel="0" collapsed="false">
      <c r="A5" s="5" t="s">
        <v>100</v>
      </c>
      <c r="B5" s="8" t="n">
        <f aca="false">Historicals!C5</f>
        <v>2628</v>
      </c>
      <c r="C5" s="21" t="n">
        <f aca="false">B5*(1+Inputs!C45)</f>
        <v>3101.04</v>
      </c>
      <c r="D5" s="21" t="n">
        <f aca="false">C5*(1+Inputs!D45)</f>
        <v>3659.2272</v>
      </c>
      <c r="E5" s="21" t="n">
        <f aca="false">D5*(1+Inputs!E45)</f>
        <v>4208.11128</v>
      </c>
      <c r="F5" s="21" t="n">
        <f aca="false">E5*(1+Inputs!F45)</f>
        <v>4755.1657464</v>
      </c>
      <c r="G5" s="21" t="n">
        <f aca="false">F5*(1+Inputs!G45)</f>
        <v>5278.233978504</v>
      </c>
      <c r="H5" s="21" t="n">
        <f aca="false">G5*(1+Inputs!H45)</f>
        <v>5753.27503656936</v>
      </c>
      <c r="I5" s="21" t="n">
        <f aca="false">H5*(1+Inputs!I45)</f>
        <v>6213.53703949491</v>
      </c>
      <c r="J5" s="21" t="n">
        <f aca="false">I5*(1+Inputs!J45)</f>
        <v>6648.48463225955</v>
      </c>
      <c r="L5" s="5" t="s">
        <v>141</v>
      </c>
      <c r="M5" s="21" t="n">
        <f aca="false">SUM(C23:J23)</f>
        <v>16458.9400081889</v>
      </c>
    </row>
    <row r="6" customFormat="false" ht="15" hidden="false" customHeight="false" outlineLevel="0" collapsed="false">
      <c r="A6" s="5" t="s">
        <v>101</v>
      </c>
      <c r="B6" s="8" t="n">
        <f aca="false">Historicals!C6</f>
        <v>1514</v>
      </c>
      <c r="C6" s="21" t="n">
        <f aca="false">B6*(1+Inputs!C46)</f>
        <v>1635.12</v>
      </c>
      <c r="D6" s="21" t="n">
        <f aca="false">C6*(1+Inputs!D46)</f>
        <v>1864.0368</v>
      </c>
      <c r="E6" s="21" t="n">
        <f aca="false">D6*(1+Inputs!E46)</f>
        <v>2087.721216</v>
      </c>
      <c r="F6" s="21" t="n">
        <f aca="false">E6*(1+Inputs!F46)</f>
        <v>2317.37054976</v>
      </c>
      <c r="G6" s="21" t="n">
        <f aca="false">F6*(1+Inputs!G46)</f>
        <v>2549.107604736</v>
      </c>
      <c r="H6" s="21" t="n">
        <f aca="false">G6*(1+Inputs!H46)</f>
        <v>2778.52728916224</v>
      </c>
      <c r="I6" s="21" t="n">
        <f aca="false">H6*(1+Inputs!I46)</f>
        <v>3000.80947229522</v>
      </c>
      <c r="J6" s="21" t="n">
        <f aca="false">I6*(1+Inputs!J46)</f>
        <v>3210.86613535589</v>
      </c>
      <c r="L6" s="5" t="s">
        <v>142</v>
      </c>
      <c r="M6" s="21" t="n">
        <f aca="false">J18</f>
        <v>4945.19786626981</v>
      </c>
    </row>
    <row r="7" customFormat="false" ht="15" hidden="false" customHeight="false" outlineLevel="0" collapsed="false">
      <c r="A7" s="5" t="s">
        <v>102</v>
      </c>
      <c r="B7" s="8" t="n">
        <f aca="false">Historicals!C7</f>
        <v>331</v>
      </c>
      <c r="C7" s="21" t="n">
        <f aca="false">B7*(1+Inputs!C47)</f>
        <v>513.05</v>
      </c>
      <c r="D7" s="21" t="n">
        <f aca="false">C7*(1+Inputs!D47)</f>
        <v>743.9225</v>
      </c>
      <c r="E7" s="21" t="n">
        <f aca="false">D7*(1+Inputs!E47)</f>
        <v>1004.295375</v>
      </c>
      <c r="F7" s="21" t="n">
        <f aca="false">E7*(1+Inputs!F47)</f>
        <v>1285.49808</v>
      </c>
      <c r="G7" s="21" t="n">
        <f aca="false">F7*(1+Inputs!G47)</f>
        <v>1568.3076576</v>
      </c>
      <c r="H7" s="21" t="n">
        <f aca="false">G7*(1+Inputs!H47)</f>
        <v>1850.603035968</v>
      </c>
      <c r="I7" s="21" t="n">
        <f aca="false">H7*(1+Inputs!I47)</f>
        <v>2128.1934913632</v>
      </c>
      <c r="J7" s="21" t="n">
        <f aca="false">I7*(1+Inputs!J47)</f>
        <v>2383.57671032678</v>
      </c>
      <c r="L7" s="5" t="s">
        <v>143</v>
      </c>
      <c r="M7" s="21" t="n">
        <f aca="false">M6*(1+Inputs!$B$27)/(Inputs!$B$26-Inputs!$B$27)</f>
        <v>67038.3379104706</v>
      </c>
    </row>
    <row r="8" customFormat="false" ht="15" hidden="false" customHeight="false" outlineLevel="0" collapsed="false">
      <c r="A8" s="9" t="s">
        <v>103</v>
      </c>
      <c r="B8" s="27" t="n">
        <f aca="false">SUM(B5:B7)</f>
        <v>4473</v>
      </c>
      <c r="C8" s="27" t="n">
        <f aca="false">SUM(C5:C7)</f>
        <v>5249.21</v>
      </c>
      <c r="D8" s="27" t="n">
        <f aca="false">SUM(D5:D7)</f>
        <v>6267.1865</v>
      </c>
      <c r="E8" s="27" t="n">
        <f aca="false">SUM(E5:E7)</f>
        <v>7300.127871</v>
      </c>
      <c r="F8" s="27" t="n">
        <f aca="false">SUM(F5:F7)</f>
        <v>8358.03437616</v>
      </c>
      <c r="G8" s="27" t="n">
        <f aca="false">SUM(G5:G7)</f>
        <v>9395.64924084</v>
      </c>
      <c r="H8" s="27" t="n">
        <f aca="false">SUM(H5:H7)</f>
        <v>10382.4053616996</v>
      </c>
      <c r="I8" s="27" t="n">
        <f aca="false">SUM(I5:I7)</f>
        <v>11342.5400031533</v>
      </c>
      <c r="J8" s="27" t="n">
        <f aca="false">SUM(J5:J7)</f>
        <v>12242.9274779422</v>
      </c>
      <c r="L8" s="5" t="s">
        <v>144</v>
      </c>
      <c r="M8" s="21" t="n">
        <f aca="false">M7/(1+Inputs!$B$26)^(Inputs!$B$13+7)</f>
        <v>30260.0016474082</v>
      </c>
    </row>
    <row r="9" customFormat="false" ht="15" hidden="false" customHeight="false" outlineLevel="0" collapsed="false">
      <c r="A9" s="5" t="s">
        <v>104</v>
      </c>
      <c r="C9" s="26" t="n">
        <f aca="false">C8/B8-1</f>
        <v>0.173532304940756</v>
      </c>
      <c r="D9" s="26" t="n">
        <f aca="false">D8/C8-1</f>
        <v>0.193929467481773</v>
      </c>
      <c r="E9" s="26" t="n">
        <f aca="false">E8/D8-1</f>
        <v>0.164817397886595</v>
      </c>
      <c r="F9" s="26" t="n">
        <f aca="false">F8/E8-1</f>
        <v>0.144916160902135</v>
      </c>
      <c r="G9" s="26" t="n">
        <f aca="false">G8/F8-1</f>
        <v>0.124145800074673</v>
      </c>
      <c r="H9" s="26" t="n">
        <f aca="false">H8/G8-1</f>
        <v>0.105022664806438</v>
      </c>
      <c r="I9" s="26" t="n">
        <f aca="false">I8/H8-1</f>
        <v>0.0924770906167503</v>
      </c>
      <c r="J9" s="26" t="n">
        <f aca="false">J8/I8-1</f>
        <v>0.0793814678668605</v>
      </c>
      <c r="L9" s="9" t="s">
        <v>145</v>
      </c>
      <c r="M9" s="27" t="n">
        <f aca="false">M5+M8</f>
        <v>46718.9416555971</v>
      </c>
    </row>
    <row r="10" customFormat="false" ht="15" hidden="false" customHeight="false" outlineLevel="0" collapsed="false">
      <c r="A10" s="5" t="s">
        <v>146</v>
      </c>
      <c r="B10" s="8" t="n">
        <f aca="false">Historicals!C17</f>
        <v>2379</v>
      </c>
      <c r="C10" s="21" t="n">
        <f aca="false">C8*Inputs!C48</f>
        <v>2965.80365</v>
      </c>
      <c r="D10" s="21" t="n">
        <f aca="false">D8*Inputs!D48</f>
        <v>3415.6166425</v>
      </c>
      <c r="E10" s="21" t="n">
        <f aca="false">E8*Inputs!E48</f>
        <v>3869.06777163</v>
      </c>
      <c r="F10" s="21" t="n">
        <f aca="false">F8*Inputs!F48</f>
        <v>4304.3877037224</v>
      </c>
      <c r="G10" s="21" t="n">
        <f aca="false">G8*Inputs!G48</f>
        <v>4744.8028666242</v>
      </c>
      <c r="H10" s="21" t="n">
        <f aca="false">H8*Inputs!H48</f>
        <v>5139.2906540413</v>
      </c>
      <c r="I10" s="21" t="n">
        <f aca="false">I8*Inputs!I48</f>
        <v>5501.13190152936</v>
      </c>
      <c r="J10" s="21" t="n">
        <f aca="false">J8*Inputs!J48</f>
        <v>5876.60518941227</v>
      </c>
      <c r="L10" s="5" t="s">
        <v>147</v>
      </c>
      <c r="M10" s="8" t="n">
        <f aca="false">Inputs!$B$10</f>
        <v>5362</v>
      </c>
    </row>
    <row r="11" customFormat="false" ht="15" hidden="false" customHeight="false" outlineLevel="0" collapsed="false">
      <c r="A11" s="32" t="s">
        <v>148</v>
      </c>
      <c r="B11" s="33" t="n">
        <f aca="false">B8-B10</f>
        <v>2094</v>
      </c>
      <c r="C11" s="33" t="n">
        <f aca="false">C8-C10</f>
        <v>2283.40635</v>
      </c>
      <c r="D11" s="33" t="n">
        <f aca="false">D8-D10</f>
        <v>2851.5698575</v>
      </c>
      <c r="E11" s="33" t="n">
        <f aca="false">E8-E10</f>
        <v>3431.06009937</v>
      </c>
      <c r="F11" s="33" t="n">
        <f aca="false">F8-F10</f>
        <v>4053.6466724376</v>
      </c>
      <c r="G11" s="33" t="n">
        <f aca="false">G8-G10</f>
        <v>4650.8463742158</v>
      </c>
      <c r="H11" s="33" t="n">
        <f aca="false">H8-H10</f>
        <v>5243.1147076583</v>
      </c>
      <c r="I11" s="33" t="n">
        <f aca="false">I8-I10</f>
        <v>5841.40810162396</v>
      </c>
      <c r="J11" s="33" t="n">
        <f aca="false">J8-J10</f>
        <v>6366.32228852996</v>
      </c>
      <c r="L11" s="5" t="s">
        <v>149</v>
      </c>
      <c r="M11" s="8" t="n">
        <f aca="false">-Inputs!$B$11</f>
        <v>-2170</v>
      </c>
    </row>
    <row r="12" customFormat="false" ht="15" hidden="false" customHeight="false" outlineLevel="0" collapsed="false">
      <c r="A12" s="5" t="s">
        <v>114</v>
      </c>
      <c r="B12" s="26" t="n">
        <f aca="false">B11/B8</f>
        <v>0.468142186452046</v>
      </c>
      <c r="C12" s="26" t="n">
        <f aca="false">C11/C8</f>
        <v>0.435</v>
      </c>
      <c r="D12" s="26" t="n">
        <f aca="false">D11/D8</f>
        <v>0.455</v>
      </c>
      <c r="E12" s="26" t="n">
        <f aca="false">E11/E8</f>
        <v>0.47</v>
      </c>
      <c r="F12" s="26" t="n">
        <f aca="false">F11/F8</f>
        <v>0.485</v>
      </c>
      <c r="G12" s="26" t="n">
        <f aca="false">G11/G8</f>
        <v>0.495</v>
      </c>
      <c r="H12" s="26" t="n">
        <f aca="false">H11/H8</f>
        <v>0.505</v>
      </c>
      <c r="I12" s="26" t="n">
        <f aca="false">I11/I8</f>
        <v>0.515</v>
      </c>
      <c r="J12" s="26" t="n">
        <f aca="false">J11/J8</f>
        <v>0.52</v>
      </c>
      <c r="L12" s="9" t="s">
        <v>150</v>
      </c>
      <c r="M12" s="27" t="n">
        <f aca="false">SUM(M9:M11)</f>
        <v>49910.9416555971</v>
      </c>
    </row>
    <row r="13" customFormat="false" ht="15" hidden="false" customHeight="false" outlineLevel="0" collapsed="false">
      <c r="A13" s="5" t="s">
        <v>151</v>
      </c>
      <c r="C13" s="21" t="n">
        <f aca="false">-C11*Inputs!$B$22</f>
        <v>-502.349397</v>
      </c>
      <c r="D13" s="21" t="n">
        <f aca="false">-D11*Inputs!$B$22</f>
        <v>-627.34536865</v>
      </c>
      <c r="E13" s="21" t="n">
        <f aca="false">-E11*Inputs!$B$22</f>
        <v>-754.8332218614</v>
      </c>
      <c r="F13" s="21" t="n">
        <f aca="false">-F11*Inputs!$B$22</f>
        <v>-891.802267936272</v>
      </c>
      <c r="G13" s="21" t="n">
        <f aca="false">-G11*Inputs!$B$22</f>
        <v>-1023.18620232748</v>
      </c>
      <c r="H13" s="21" t="n">
        <f aca="false">-H11*Inputs!$B$22</f>
        <v>-1153.48523568483</v>
      </c>
      <c r="I13" s="21" t="n">
        <f aca="false">-I11*Inputs!$B$22</f>
        <v>-1285.10978235727</v>
      </c>
      <c r="J13" s="21" t="n">
        <f aca="false">-J11*Inputs!$B$22</f>
        <v>-1400.59090347659</v>
      </c>
      <c r="L13" s="5" t="s">
        <v>37</v>
      </c>
      <c r="M13" s="34" t="n">
        <f aca="false">Inputs!$B$9</f>
        <v>912</v>
      </c>
    </row>
    <row r="14" customFormat="false" ht="15" hidden="false" customHeight="false" outlineLevel="0" collapsed="false">
      <c r="A14" s="5" t="s">
        <v>152</v>
      </c>
      <c r="C14" s="21" t="n">
        <f aca="false">C11+C13</f>
        <v>1781.056953</v>
      </c>
      <c r="D14" s="21" t="n">
        <f aca="false">D11+D13</f>
        <v>2224.22448885</v>
      </c>
      <c r="E14" s="21" t="n">
        <f aca="false">E11+E13</f>
        <v>2676.2268775086</v>
      </c>
      <c r="F14" s="21" t="n">
        <f aca="false">F11+F13</f>
        <v>3161.84440450133</v>
      </c>
      <c r="G14" s="21" t="n">
        <f aca="false">G11+G13</f>
        <v>3627.66017188832</v>
      </c>
      <c r="H14" s="21" t="n">
        <f aca="false">H11+H13</f>
        <v>4089.62947197347</v>
      </c>
      <c r="I14" s="21" t="n">
        <f aca="false">I11+I13</f>
        <v>4556.29831926669</v>
      </c>
      <c r="J14" s="21" t="n">
        <f aca="false">J11+J13</f>
        <v>4965.73138505337</v>
      </c>
      <c r="L14" s="9" t="s">
        <v>153</v>
      </c>
      <c r="M14" s="11" t="n">
        <f aca="false">M12/M13</f>
        <v>54.7269097100846</v>
      </c>
    </row>
    <row r="15" customFormat="false" ht="15" hidden="false" customHeight="false" outlineLevel="0" collapsed="false">
      <c r="A15" s="5" t="s">
        <v>154</v>
      </c>
      <c r="C15" s="21" t="n">
        <f aca="false">C8*Inputs!$B$31</f>
        <v>89.23657</v>
      </c>
      <c r="D15" s="21" t="n">
        <f aca="false">D8*Inputs!$B$31</f>
        <v>106.5421705</v>
      </c>
      <c r="E15" s="21" t="n">
        <f aca="false">E8*Inputs!$B$31</f>
        <v>124.102173807</v>
      </c>
      <c r="F15" s="21" t="n">
        <f aca="false">F8*Inputs!$B$31</f>
        <v>142.08658439472</v>
      </c>
      <c r="G15" s="21" t="n">
        <f aca="false">G8*Inputs!$B$31</f>
        <v>159.72603709428</v>
      </c>
      <c r="H15" s="21" t="n">
        <f aca="false">H8*Inputs!$B$31</f>
        <v>176.500891148893</v>
      </c>
      <c r="I15" s="21" t="n">
        <f aca="false">I8*Inputs!$B$31</f>
        <v>192.823180053607</v>
      </c>
      <c r="J15" s="21" t="n">
        <f aca="false">J8*Inputs!$B$31</f>
        <v>208.129767125018</v>
      </c>
      <c r="L15" s="5" t="s">
        <v>155</v>
      </c>
      <c r="M15" s="6" t="n">
        <f aca="false">Inputs!$B$6</f>
        <v>98.87</v>
      </c>
    </row>
    <row r="16" customFormat="false" ht="15" hidden="false" customHeight="false" outlineLevel="0" collapsed="false">
      <c r="A16" s="5" t="s">
        <v>156</v>
      </c>
      <c r="C16" s="21" t="n">
        <f aca="false">-C8*Inputs!$B$32</f>
        <v>-78.73815</v>
      </c>
      <c r="D16" s="21" t="n">
        <f aca="false">-D8*Inputs!$B$32</f>
        <v>-94.0077975</v>
      </c>
      <c r="E16" s="21" t="n">
        <f aca="false">-E8*Inputs!$B$32</f>
        <v>-109.501918065</v>
      </c>
      <c r="F16" s="21" t="n">
        <f aca="false">-F8*Inputs!$B$32</f>
        <v>-125.3705156424</v>
      </c>
      <c r="G16" s="21" t="n">
        <f aca="false">-G8*Inputs!$B$32</f>
        <v>-140.9347386126</v>
      </c>
      <c r="H16" s="21" t="n">
        <f aca="false">-H8*Inputs!$B$32</f>
        <v>-155.736080425494</v>
      </c>
      <c r="I16" s="21" t="n">
        <f aca="false">-I8*Inputs!$B$32</f>
        <v>-170.1381000473</v>
      </c>
      <c r="J16" s="21" t="n">
        <f aca="false">-J8*Inputs!$B$32</f>
        <v>-183.643912169133</v>
      </c>
      <c r="L16" s="5" t="s">
        <v>157</v>
      </c>
      <c r="M16" s="26" t="n">
        <f aca="false">M14/M15-1</f>
        <v>-0.446476082632906</v>
      </c>
    </row>
    <row r="17" customFormat="false" ht="15" hidden="false" customHeight="false" outlineLevel="0" collapsed="false">
      <c r="A17" s="5" t="s">
        <v>158</v>
      </c>
      <c r="C17" s="21" t="n">
        <f aca="false">-(C8-B8)*Inputs!$B$33</f>
        <v>-38.8105</v>
      </c>
      <c r="D17" s="21" t="n">
        <f aca="false">-(D8-C8)*Inputs!$B$33</f>
        <v>-50.898825</v>
      </c>
      <c r="E17" s="21" t="n">
        <f aca="false">-(E8-D8)*Inputs!$B$33</f>
        <v>-51.64706855</v>
      </c>
      <c r="F17" s="21" t="n">
        <f aca="false">-(F8-E8)*Inputs!$B$33</f>
        <v>-52.8953252579999</v>
      </c>
      <c r="G17" s="21" t="n">
        <f aca="false">-(G8-F8)*Inputs!$B$33</f>
        <v>-51.8807432340002</v>
      </c>
      <c r="H17" s="21" t="n">
        <f aca="false">-(H8-G8)*Inputs!$B$33</f>
        <v>-49.33780604298</v>
      </c>
      <c r="I17" s="21" t="n">
        <f aca="false">-(I8-H8)*Inputs!$B$33</f>
        <v>-48.0067320726864</v>
      </c>
      <c r="J17" s="21" t="n">
        <f aca="false">-(J8-I8)*Inputs!$B$33</f>
        <v>-45.0193737394447</v>
      </c>
      <c r="L17" s="5" t="s">
        <v>159</v>
      </c>
      <c r="M17" s="26" t="n">
        <f aca="false">M8/M9</f>
        <v>0.647703063791107</v>
      </c>
    </row>
    <row r="18" customFormat="false" ht="15" hidden="false" customHeight="false" outlineLevel="0" collapsed="false">
      <c r="A18" s="32" t="s">
        <v>160</v>
      </c>
      <c r="B18" s="35"/>
      <c r="C18" s="33" t="n">
        <f aca="false">SUM(C14:C17)</f>
        <v>1752.744873</v>
      </c>
      <c r="D18" s="33" t="n">
        <f aca="false">SUM(D14:D17)</f>
        <v>2185.86003685</v>
      </c>
      <c r="E18" s="33" t="n">
        <f aca="false">SUM(E14:E17)</f>
        <v>2639.1800647006</v>
      </c>
      <c r="F18" s="33" t="n">
        <f aca="false">SUM(F14:F17)</f>
        <v>3125.66514799565</v>
      </c>
      <c r="G18" s="33" t="n">
        <f aca="false">SUM(G14:G17)</f>
        <v>3594.570727136</v>
      </c>
      <c r="H18" s="33" t="n">
        <f aca="false">SUM(H14:H17)</f>
        <v>4061.05647665389</v>
      </c>
      <c r="I18" s="33" t="n">
        <f aca="false">SUM(I14:I17)</f>
        <v>4530.97666720031</v>
      </c>
      <c r="J18" s="33" t="n">
        <f aca="false">SUM(J14:J17)</f>
        <v>4945.19786626981</v>
      </c>
      <c r="L18" s="5" t="s">
        <v>161</v>
      </c>
      <c r="M18" s="36" t="n">
        <f aca="false">M7/((J11+J15)*(1+Inputs!$B$27))</f>
        <v>9.80461029342888</v>
      </c>
    </row>
    <row r="19" customFormat="false" ht="15" hidden="false" customHeight="false" outlineLevel="0" collapsed="false">
      <c r="A19" s="5" t="s">
        <v>162</v>
      </c>
      <c r="C19" s="26" t="n">
        <f aca="false">C18/C8</f>
        <v>0.333906411250455</v>
      </c>
      <c r="D19" s="26" t="n">
        <f aca="false">D18/D8</f>
        <v>0.34877852076845</v>
      </c>
      <c r="E19" s="26" t="n">
        <f aca="false">E18/E8</f>
        <v>0.361525183029304</v>
      </c>
      <c r="F19" s="26" t="n">
        <f aca="false">F18/F8</f>
        <v>0.373971319968619</v>
      </c>
      <c r="G19" s="26" t="n">
        <f aca="false">G18/G8</f>
        <v>0.382578216256894</v>
      </c>
      <c r="H19" s="26" t="n">
        <f aca="false">H18/H8</f>
        <v>0.391147940691568</v>
      </c>
      <c r="I19" s="26" t="n">
        <f aca="false">I18/I8</f>
        <v>0.399467550120225</v>
      </c>
      <c r="J19" s="26" t="n">
        <f aca="false">J18/J8</f>
        <v>0.403922826070762</v>
      </c>
      <c r="L19" s="5" t="s">
        <v>163</v>
      </c>
      <c r="M19" s="36" t="n">
        <f aca="false">M9/D11</f>
        <v>16.383586582219</v>
      </c>
    </row>
    <row r="20" customFormat="false" ht="15" hidden="false" customHeight="false" outlineLevel="0" collapsed="false">
      <c r="A20" s="5" t="s">
        <v>164</v>
      </c>
      <c r="C20" s="22" t="n">
        <f aca="false">Inputs!$B$13</f>
        <v>0.205479452054795</v>
      </c>
      <c r="D20" s="37" t="n">
        <v>1</v>
      </c>
      <c r="E20" s="37" t="n">
        <v>1</v>
      </c>
      <c r="F20" s="37" t="n">
        <v>1</v>
      </c>
      <c r="G20" s="37" t="n">
        <v>1</v>
      </c>
      <c r="H20" s="37" t="n">
        <v>1</v>
      </c>
      <c r="I20" s="37" t="n">
        <v>1</v>
      </c>
      <c r="J20" s="37" t="n">
        <v>1</v>
      </c>
      <c r="L20" s="5" t="s">
        <v>165</v>
      </c>
      <c r="M20" s="36" t="n">
        <f aca="false">(Inputs!$B$12-Inputs!$B$10+Inputs!$B$11)/D11</f>
        <v>30.501598889902</v>
      </c>
    </row>
    <row r="21" customFormat="false" ht="15" hidden="false" customHeight="false" outlineLevel="0" collapsed="false">
      <c r="A21" s="5" t="s">
        <v>166</v>
      </c>
      <c r="C21" s="22" t="n">
        <f aca="false">Inputs!$B$13/2</f>
        <v>0.102739726027397</v>
      </c>
      <c r="D21" s="22" t="n">
        <f aca="false">Inputs!$B$13+1-0.5</f>
        <v>0.705479452054795</v>
      </c>
      <c r="E21" s="22" t="n">
        <f aca="false">Inputs!$B$13+2-0.5</f>
        <v>1.70547945205479</v>
      </c>
      <c r="F21" s="22" t="n">
        <f aca="false">Inputs!$B$13+3-0.5</f>
        <v>2.70547945205479</v>
      </c>
      <c r="G21" s="22" t="n">
        <f aca="false">Inputs!$B$13+4-0.5</f>
        <v>3.7054794520548</v>
      </c>
      <c r="H21" s="22" t="n">
        <f aca="false">Inputs!$B$13+5-0.5</f>
        <v>4.7054794520548</v>
      </c>
      <c r="I21" s="22" t="n">
        <f aca="false">Inputs!$B$13+6-0.5</f>
        <v>5.7054794520548</v>
      </c>
      <c r="J21" s="22" t="n">
        <f aca="false">Inputs!$B$13+7-0.5</f>
        <v>6.7054794520548</v>
      </c>
    </row>
    <row r="22" customFormat="false" ht="15" hidden="false" customHeight="false" outlineLevel="0" collapsed="false">
      <c r="A22" s="5" t="s">
        <v>167</v>
      </c>
      <c r="C22" s="38" t="n">
        <f aca="false">1/(1+Inputs!$B$26)^C21</f>
        <v>0.988722280525439</v>
      </c>
      <c r="D22" s="38" t="n">
        <f aca="false">1/(1+Inputs!$B$26)^D21</f>
        <v>0.925075126651758</v>
      </c>
      <c r="E22" s="38" t="n">
        <f aca="false">1/(1+Inputs!$B$26)^E21</f>
        <v>0.828387863866154</v>
      </c>
      <c r="F22" s="38" t="n">
        <f aca="false">1/(1+Inputs!$B$26)^F21</f>
        <v>0.741806187660105</v>
      </c>
      <c r="G22" s="38" t="n">
        <f aca="false">1/(1+Inputs!$B$26)^G21</f>
        <v>0.664273879487604</v>
      </c>
      <c r="H22" s="38" t="n">
        <f aca="false">1/(1+Inputs!$B$26)^H21</f>
        <v>0.594845114950291</v>
      </c>
      <c r="I22" s="38" t="n">
        <f aca="false">1/(1+Inputs!$B$26)^I21</f>
        <v>0.532672925590818</v>
      </c>
      <c r="J22" s="38" t="n">
        <f aca="false">1/(1+Inputs!$B$26)^J21</f>
        <v>0.476998866639751</v>
      </c>
    </row>
    <row r="23" customFormat="false" ht="15" hidden="false" customHeight="false" outlineLevel="0" collapsed="false">
      <c r="A23" s="32" t="s">
        <v>168</v>
      </c>
      <c r="B23" s="35"/>
      <c r="C23" s="33" t="n">
        <f aca="false">C18*C20*C22</f>
        <v>356.091350961335</v>
      </c>
      <c r="D23" s="33" t="n">
        <f aca="false">D18*D20*D22</f>
        <v>2022.08475043203</v>
      </c>
      <c r="E23" s="33" t="n">
        <f aca="false">E18*E20*E22</f>
        <v>2186.26473615547</v>
      </c>
      <c r="F23" s="33" t="n">
        <f aca="false">F18*F20*F22</f>
        <v>2318.63774733671</v>
      </c>
      <c r="G23" s="33" t="n">
        <f aca="false">G18*G20*G22</f>
        <v>2387.77944200721</v>
      </c>
      <c r="H23" s="33" t="n">
        <f aca="false">H18*H20*H22</f>
        <v>2415.69960667481</v>
      </c>
      <c r="I23" s="33" t="n">
        <f aca="false">I18*I20*I22</f>
        <v>2413.52859710132</v>
      </c>
      <c r="J23" s="33" t="n">
        <f aca="false">J18*J20*J22</f>
        <v>2358.85377752001</v>
      </c>
    </row>
    <row r="26" customFormat="false" ht="15" hidden="false" customHeight="false" outlineLevel="0" collapsed="false">
      <c r="A26" s="3" t="s">
        <v>169</v>
      </c>
      <c r="B26" s="4" t="s">
        <v>139</v>
      </c>
      <c r="C26" s="4" t="s">
        <v>72</v>
      </c>
      <c r="D26" s="4" t="s">
        <v>73</v>
      </c>
      <c r="E26" s="4" t="s">
        <v>74</v>
      </c>
      <c r="F26" s="4" t="s">
        <v>75</v>
      </c>
      <c r="G26" s="4" t="s">
        <v>76</v>
      </c>
      <c r="H26" s="4" t="s">
        <v>77</v>
      </c>
      <c r="I26" s="4" t="s">
        <v>78</v>
      </c>
      <c r="J26" s="4" t="s">
        <v>79</v>
      </c>
      <c r="L26" s="30" t="s">
        <v>170</v>
      </c>
      <c r="M26" s="31"/>
    </row>
    <row r="27" customFormat="false" ht="15" hidden="false" customHeight="false" outlineLevel="0" collapsed="false">
      <c r="A27" s="5" t="s">
        <v>100</v>
      </c>
      <c r="B27" s="8" t="n">
        <f aca="false">Historicals!C5</f>
        <v>2628</v>
      </c>
      <c r="C27" s="21" t="n">
        <f aca="false">B27*(1+Inputs!C39)</f>
        <v>3022.2</v>
      </c>
      <c r="D27" s="21" t="n">
        <f aca="false">C27*(1+Inputs!D39)</f>
        <v>3112.866</v>
      </c>
      <c r="E27" s="21" t="n">
        <f aca="false">D27*(1+Inputs!E39)</f>
        <v>3299.63796</v>
      </c>
      <c r="F27" s="21" t="n">
        <f aca="false">E27*(1+Inputs!F39)</f>
        <v>3497.6162376</v>
      </c>
      <c r="G27" s="21" t="n">
        <f aca="false">F27*(1+Inputs!G39)</f>
        <v>3672.49704948</v>
      </c>
      <c r="H27" s="21" t="n">
        <f aca="false">G27*(1+Inputs!H39)</f>
        <v>3856.121901954</v>
      </c>
      <c r="I27" s="21" t="n">
        <f aca="false">H27*(1+Inputs!I39)</f>
        <v>4010.36677803216</v>
      </c>
      <c r="J27" s="21" t="n">
        <f aca="false">I27*(1+Inputs!J39)</f>
        <v>4170.78144915345</v>
      </c>
      <c r="L27" s="5" t="s">
        <v>141</v>
      </c>
      <c r="M27" s="21" t="n">
        <f aca="false">SUM(C45:J45)</f>
        <v>10173.263649943</v>
      </c>
    </row>
    <row r="28" customFormat="false" ht="15" hidden="false" customHeight="false" outlineLevel="0" collapsed="false">
      <c r="A28" s="5" t="s">
        <v>101</v>
      </c>
      <c r="B28" s="8" t="n">
        <f aca="false">Historicals!C6</f>
        <v>1514</v>
      </c>
      <c r="C28" s="21" t="n">
        <f aca="false">B28*(1+Inputs!C40)</f>
        <v>1604.84</v>
      </c>
      <c r="D28" s="21" t="n">
        <f aca="false">C28*(1+Inputs!D40)</f>
        <v>1604.84</v>
      </c>
      <c r="E28" s="21" t="n">
        <f aca="false">D28*(1+Inputs!E40)</f>
        <v>1669.0336</v>
      </c>
      <c r="F28" s="21" t="n">
        <f aca="false">E28*(1+Inputs!F40)</f>
        <v>1752.48528</v>
      </c>
      <c r="G28" s="21" t="n">
        <f aca="false">F28*(1+Inputs!G40)</f>
        <v>1840.109544</v>
      </c>
      <c r="H28" s="21" t="n">
        <f aca="false">G28*(1+Inputs!H40)</f>
        <v>1913.71392576</v>
      </c>
      <c r="I28" s="21" t="n">
        <f aca="false">H28*(1+Inputs!I40)</f>
        <v>1990.2624827904</v>
      </c>
      <c r="J28" s="21" t="n">
        <f aca="false">I28*(1+Inputs!J40)</f>
        <v>2049.97035727411</v>
      </c>
      <c r="L28" s="5" t="s">
        <v>142</v>
      </c>
      <c r="M28" s="21" t="n">
        <f aca="false">J40</f>
        <v>2528.63633726387</v>
      </c>
    </row>
    <row r="29" customFormat="false" ht="15" hidden="false" customHeight="false" outlineLevel="0" collapsed="false">
      <c r="A29" s="5" t="s">
        <v>102</v>
      </c>
      <c r="B29" s="8" t="n">
        <f aca="false">Historicals!C7</f>
        <v>331</v>
      </c>
      <c r="C29" s="21" t="n">
        <f aca="false">B29*(1+Inputs!C41)</f>
        <v>496.5</v>
      </c>
      <c r="D29" s="21" t="n">
        <f aca="false">C29*(1+Inputs!D41)</f>
        <v>620.625</v>
      </c>
      <c r="E29" s="21" t="n">
        <f aca="false">D29*(1+Inputs!E41)</f>
        <v>732.3375</v>
      </c>
      <c r="F29" s="21" t="n">
        <f aca="false">E29*(1+Inputs!F41)</f>
        <v>834.86475</v>
      </c>
      <c r="G29" s="21" t="n">
        <f aca="false">F29*(1+Inputs!G41)</f>
        <v>926.6998725</v>
      </c>
      <c r="H29" s="21" t="n">
        <f aca="false">G29*(1+Inputs!H41)</f>
        <v>1010.102861025</v>
      </c>
      <c r="I29" s="21" t="n">
        <f aca="false">H29*(1+Inputs!I41)</f>
        <v>1080.81006129675</v>
      </c>
      <c r="J29" s="21" t="n">
        <f aca="false">I29*(1+Inputs!J41)</f>
        <v>1145.65866497456</v>
      </c>
      <c r="L29" s="5" t="s">
        <v>143</v>
      </c>
      <c r="M29" s="21" t="n">
        <f aca="false">M28*(1+Inputs!$B$27)/(Inputs!$B$26-Inputs!$B$27)</f>
        <v>34278.8260074327</v>
      </c>
    </row>
    <row r="30" customFormat="false" ht="15" hidden="false" customHeight="false" outlineLevel="0" collapsed="false">
      <c r="A30" s="9" t="s">
        <v>103</v>
      </c>
      <c r="B30" s="27" t="n">
        <f aca="false">SUM(B27:B29)</f>
        <v>4473</v>
      </c>
      <c r="C30" s="27" t="n">
        <f aca="false">SUM(C27:C29)</f>
        <v>5123.54</v>
      </c>
      <c r="D30" s="27" t="n">
        <f aca="false">SUM(D27:D29)</f>
        <v>5338.331</v>
      </c>
      <c r="E30" s="27" t="n">
        <f aca="false">SUM(E27:E29)</f>
        <v>5701.00906</v>
      </c>
      <c r="F30" s="27" t="n">
        <f aca="false">SUM(F27:F29)</f>
        <v>6084.9662676</v>
      </c>
      <c r="G30" s="27" t="n">
        <f aca="false">SUM(G27:G29)</f>
        <v>6439.30646598</v>
      </c>
      <c r="H30" s="27" t="n">
        <f aca="false">SUM(H27:H29)</f>
        <v>6779.938688739</v>
      </c>
      <c r="I30" s="27" t="n">
        <f aca="false">SUM(I27:I29)</f>
        <v>7081.43932211931</v>
      </c>
      <c r="J30" s="27" t="n">
        <f aca="false">SUM(J27:J29)</f>
        <v>7366.41047140212</v>
      </c>
      <c r="L30" s="5" t="s">
        <v>144</v>
      </c>
      <c r="M30" s="21" t="n">
        <f aca="false">M29/(1+Inputs!$B$26)^(Inputs!$B$13+7)</f>
        <v>15472.8975059228</v>
      </c>
    </row>
    <row r="31" customFormat="false" ht="15" hidden="false" customHeight="false" outlineLevel="0" collapsed="false">
      <c r="A31" s="5" t="s">
        <v>104</v>
      </c>
      <c r="C31" s="26" t="n">
        <f aca="false">C30/B30-1</f>
        <v>0.145437066845518</v>
      </c>
      <c r="D31" s="26" t="n">
        <f aca="false">D30/C30-1</f>
        <v>0.0419223817907151</v>
      </c>
      <c r="E31" s="26" t="n">
        <f aca="false">E30/D30-1</f>
        <v>0.0679384736540316</v>
      </c>
      <c r="F31" s="26" t="n">
        <f aca="false">F30/E30-1</f>
        <v>0.0673489909521385</v>
      </c>
      <c r="G31" s="26" t="n">
        <f aca="false">G30/F30-1</f>
        <v>0.058232072750628</v>
      </c>
      <c r="H31" s="26" t="n">
        <f aca="false">H30/G30-1</f>
        <v>0.0528988990598012</v>
      </c>
      <c r="I31" s="26" t="n">
        <f aca="false">I30/H30-1</f>
        <v>0.0444695221036557</v>
      </c>
      <c r="J31" s="26" t="n">
        <f aca="false">J30/I30-1</f>
        <v>0.0402419813713124</v>
      </c>
      <c r="L31" s="9" t="s">
        <v>145</v>
      </c>
      <c r="M31" s="27" t="n">
        <f aca="false">M27+M30</f>
        <v>25646.1611558658</v>
      </c>
    </row>
    <row r="32" customFormat="false" ht="15" hidden="false" customHeight="false" outlineLevel="0" collapsed="false">
      <c r="A32" s="5" t="s">
        <v>146</v>
      </c>
      <c r="B32" s="8" t="n">
        <f aca="false">Historicals!C17</f>
        <v>2379</v>
      </c>
      <c r="C32" s="21" t="n">
        <f aca="false">C30*Inputs!C42</f>
        <v>2946.0355</v>
      </c>
      <c r="D32" s="21" t="n">
        <f aca="false">D30*Inputs!D42</f>
        <v>3202.9986</v>
      </c>
      <c r="E32" s="21" t="n">
        <f aca="false">E30*Inputs!E42</f>
        <v>3363.5953454</v>
      </c>
      <c r="F32" s="21" t="n">
        <f aca="false">F30*Inputs!F42</f>
        <v>3529.280435208</v>
      </c>
      <c r="G32" s="21" t="n">
        <f aca="false">G30*Inputs!G42</f>
        <v>3670.4046856086</v>
      </c>
      <c r="H32" s="21" t="n">
        <f aca="false">H30*Inputs!H42</f>
        <v>3796.76566569384</v>
      </c>
      <c r="I32" s="21" t="n">
        <f aca="false">I30*Inputs!I42</f>
        <v>3965.60602038681</v>
      </c>
      <c r="J32" s="21" t="n">
        <f aca="false">J30*Inputs!J42</f>
        <v>4125.18986398519</v>
      </c>
      <c r="L32" s="5" t="s">
        <v>147</v>
      </c>
      <c r="M32" s="8" t="n">
        <f aca="false">Inputs!$B$10</f>
        <v>5362</v>
      </c>
    </row>
    <row r="33" customFormat="false" ht="15" hidden="false" customHeight="false" outlineLevel="0" collapsed="false">
      <c r="A33" s="32" t="s">
        <v>148</v>
      </c>
      <c r="B33" s="33" t="n">
        <f aca="false">B30-B32</f>
        <v>2094</v>
      </c>
      <c r="C33" s="33" t="n">
        <f aca="false">C30-C32</f>
        <v>2177.5045</v>
      </c>
      <c r="D33" s="33" t="n">
        <f aca="false">D30-D32</f>
        <v>2135.3324</v>
      </c>
      <c r="E33" s="33" t="n">
        <f aca="false">E30-E32</f>
        <v>2337.4137146</v>
      </c>
      <c r="F33" s="33" t="n">
        <f aca="false">F30-F32</f>
        <v>2555.685832392</v>
      </c>
      <c r="G33" s="33" t="n">
        <f aca="false">G30-G32</f>
        <v>2768.9017803714</v>
      </c>
      <c r="H33" s="33" t="n">
        <f aca="false">H30-H32</f>
        <v>2983.17302304516</v>
      </c>
      <c r="I33" s="33" t="n">
        <f aca="false">I30-I32</f>
        <v>3115.8333017325</v>
      </c>
      <c r="J33" s="33" t="n">
        <f aca="false">J30-J32</f>
        <v>3241.22060741693</v>
      </c>
      <c r="L33" s="5" t="s">
        <v>149</v>
      </c>
      <c r="M33" s="8" t="n">
        <f aca="false">-Inputs!$B$11</f>
        <v>-2170</v>
      </c>
    </row>
    <row r="34" customFormat="false" ht="15" hidden="false" customHeight="false" outlineLevel="0" collapsed="false">
      <c r="A34" s="5" t="s">
        <v>114</v>
      </c>
      <c r="B34" s="26" t="n">
        <f aca="false">B33/B30</f>
        <v>0.468142186452046</v>
      </c>
      <c r="C34" s="26" t="n">
        <f aca="false">C33/C30</f>
        <v>0.425</v>
      </c>
      <c r="D34" s="26" t="n">
        <f aca="false">D33/D30</f>
        <v>0.4</v>
      </c>
      <c r="E34" s="26" t="n">
        <f aca="false">E33/E30</f>
        <v>0.41</v>
      </c>
      <c r="F34" s="26" t="n">
        <f aca="false">F33/F30</f>
        <v>0.42</v>
      </c>
      <c r="G34" s="26" t="n">
        <f aca="false">G33/G30</f>
        <v>0.43</v>
      </c>
      <c r="H34" s="26" t="n">
        <f aca="false">H33/H30</f>
        <v>0.44</v>
      </c>
      <c r="I34" s="26" t="n">
        <f aca="false">I33/I30</f>
        <v>0.44</v>
      </c>
      <c r="J34" s="26" t="n">
        <f aca="false">J33/J30</f>
        <v>0.44</v>
      </c>
      <c r="L34" s="9" t="s">
        <v>150</v>
      </c>
      <c r="M34" s="27" t="n">
        <f aca="false">SUM(M31:M33)</f>
        <v>28838.1611558658</v>
      </c>
    </row>
    <row r="35" customFormat="false" ht="15" hidden="false" customHeight="false" outlineLevel="0" collapsed="false">
      <c r="A35" s="5" t="s">
        <v>151</v>
      </c>
      <c r="C35" s="21" t="n">
        <f aca="false">-C33*Inputs!$B$22</f>
        <v>-479.05099</v>
      </c>
      <c r="D35" s="21" t="n">
        <f aca="false">-D33*Inputs!$B$22</f>
        <v>-469.773128</v>
      </c>
      <c r="E35" s="21" t="n">
        <f aca="false">-E33*Inputs!$B$22</f>
        <v>-514.231017212</v>
      </c>
      <c r="F35" s="21" t="n">
        <f aca="false">-F33*Inputs!$B$22</f>
        <v>-562.25088312624</v>
      </c>
      <c r="G35" s="21" t="n">
        <f aca="false">-G33*Inputs!$B$22</f>
        <v>-609.158391681708</v>
      </c>
      <c r="H35" s="21" t="n">
        <f aca="false">-H33*Inputs!$B$22</f>
        <v>-656.298065069935</v>
      </c>
      <c r="I35" s="21" t="n">
        <f aca="false">-I33*Inputs!$B$22</f>
        <v>-685.483326381149</v>
      </c>
      <c r="J35" s="21" t="n">
        <f aca="false">-J33*Inputs!$B$22</f>
        <v>-713.068533631725</v>
      </c>
      <c r="L35" s="5" t="s">
        <v>37</v>
      </c>
      <c r="M35" s="34" t="n">
        <f aca="false">Inputs!$B$9</f>
        <v>912</v>
      </c>
    </row>
    <row r="36" customFormat="false" ht="15" hidden="false" customHeight="false" outlineLevel="0" collapsed="false">
      <c r="A36" s="5" t="s">
        <v>152</v>
      </c>
      <c r="C36" s="21" t="n">
        <f aca="false">C33+C35</f>
        <v>1698.45351</v>
      </c>
      <c r="D36" s="21" t="n">
        <f aca="false">D33+D35</f>
        <v>1665.559272</v>
      </c>
      <c r="E36" s="21" t="n">
        <f aca="false">E33+E35</f>
        <v>1823.182697388</v>
      </c>
      <c r="F36" s="21" t="n">
        <f aca="false">F33+F35</f>
        <v>1993.43494926576</v>
      </c>
      <c r="G36" s="21" t="n">
        <f aca="false">G33+G35</f>
        <v>2159.74338868969</v>
      </c>
      <c r="H36" s="21" t="n">
        <f aca="false">H33+H35</f>
        <v>2326.87495797523</v>
      </c>
      <c r="I36" s="21" t="n">
        <f aca="false">I33+I35</f>
        <v>2430.34997535135</v>
      </c>
      <c r="J36" s="21" t="n">
        <f aca="false">J33+J35</f>
        <v>2528.15207378521</v>
      </c>
      <c r="L36" s="9" t="s">
        <v>153</v>
      </c>
      <c r="M36" s="11" t="n">
        <f aca="false">M34/M35</f>
        <v>31.6207907410809</v>
      </c>
    </row>
    <row r="37" customFormat="false" ht="15" hidden="false" customHeight="false" outlineLevel="0" collapsed="false">
      <c r="A37" s="5" t="s">
        <v>154</v>
      </c>
      <c r="C37" s="21" t="n">
        <f aca="false">C30*Inputs!$B$31</f>
        <v>87.10018</v>
      </c>
      <c r="D37" s="21" t="n">
        <f aca="false">D30*Inputs!$B$31</f>
        <v>90.751627</v>
      </c>
      <c r="E37" s="21" t="n">
        <f aca="false">E30*Inputs!$B$31</f>
        <v>96.91715402</v>
      </c>
      <c r="F37" s="21" t="n">
        <f aca="false">F30*Inputs!$B$31</f>
        <v>103.4444265492</v>
      </c>
      <c r="G37" s="21" t="n">
        <f aca="false">G30*Inputs!$B$31</f>
        <v>109.46820992166</v>
      </c>
      <c r="H37" s="21" t="n">
        <f aca="false">H30*Inputs!$B$31</f>
        <v>115.258957708563</v>
      </c>
      <c r="I37" s="21" t="n">
        <f aca="false">I30*Inputs!$B$31</f>
        <v>120.384468476028</v>
      </c>
      <c r="J37" s="21" t="n">
        <f aca="false">J30*Inputs!$B$31</f>
        <v>125.228978013836</v>
      </c>
      <c r="L37" s="5" t="s">
        <v>155</v>
      </c>
      <c r="M37" s="6" t="n">
        <f aca="false">Inputs!$B$6</f>
        <v>98.87</v>
      </c>
    </row>
    <row r="38" customFormat="false" ht="15" hidden="false" customHeight="false" outlineLevel="0" collapsed="false">
      <c r="A38" s="5" t="s">
        <v>156</v>
      </c>
      <c r="C38" s="21" t="n">
        <f aca="false">-C30*Inputs!$B$32</f>
        <v>-76.8531</v>
      </c>
      <c r="D38" s="21" t="n">
        <f aca="false">-D30*Inputs!$B$32</f>
        <v>-80.074965</v>
      </c>
      <c r="E38" s="21" t="n">
        <f aca="false">-E30*Inputs!$B$32</f>
        <v>-85.5151359</v>
      </c>
      <c r="F38" s="21" t="n">
        <f aca="false">-F30*Inputs!$B$32</f>
        <v>-91.274494014</v>
      </c>
      <c r="G38" s="21" t="n">
        <f aca="false">-G30*Inputs!$B$32</f>
        <v>-96.5895969897</v>
      </c>
      <c r="H38" s="21" t="n">
        <f aca="false">-H30*Inputs!$B$32</f>
        <v>-101.699080331085</v>
      </c>
      <c r="I38" s="21" t="n">
        <f aca="false">-I30*Inputs!$B$32</f>
        <v>-106.22158983179</v>
      </c>
      <c r="J38" s="21" t="n">
        <f aca="false">-J30*Inputs!$B$32</f>
        <v>-110.496157071032</v>
      </c>
      <c r="L38" s="5" t="s">
        <v>157</v>
      </c>
      <c r="M38" s="26" t="n">
        <f aca="false">M36/M37-1</f>
        <v>-0.680178105177699</v>
      </c>
    </row>
    <row r="39" customFormat="false" ht="15" hidden="false" customHeight="false" outlineLevel="0" collapsed="false">
      <c r="A39" s="5" t="s">
        <v>158</v>
      </c>
      <c r="C39" s="21" t="n">
        <f aca="false">-(C30-B30)*Inputs!$B$33</f>
        <v>-32.527</v>
      </c>
      <c r="D39" s="21" t="n">
        <f aca="false">-(D30-C30)*Inputs!$B$33</f>
        <v>-10.73955</v>
      </c>
      <c r="E39" s="21" t="n">
        <f aca="false">-(E30-D30)*Inputs!$B$33</f>
        <v>-18.133903</v>
      </c>
      <c r="F39" s="21" t="n">
        <f aca="false">-(F30-E30)*Inputs!$B$33</f>
        <v>-19.19786038</v>
      </c>
      <c r="G39" s="21" t="n">
        <f aca="false">-(G30-F30)*Inputs!$B$33</f>
        <v>-17.7170099190001</v>
      </c>
      <c r="H39" s="21" t="n">
        <f aca="false">-(H30-G30)*Inputs!$B$33</f>
        <v>-17.03161113795</v>
      </c>
      <c r="I39" s="21" t="n">
        <f aca="false">-(I30-H30)*Inputs!$B$33</f>
        <v>-15.0750316690155</v>
      </c>
      <c r="J39" s="21" t="n">
        <f aca="false">-(J30-I30)*Inputs!$B$33</f>
        <v>-14.2485574641402</v>
      </c>
      <c r="L39" s="5" t="s">
        <v>159</v>
      </c>
      <c r="M39" s="26" t="n">
        <f aca="false">M30/M31</f>
        <v>0.603322166303391</v>
      </c>
    </row>
    <row r="40" customFormat="false" ht="15" hidden="false" customHeight="false" outlineLevel="0" collapsed="false">
      <c r="A40" s="32" t="s">
        <v>160</v>
      </c>
      <c r="B40" s="35"/>
      <c r="C40" s="33" t="n">
        <f aca="false">SUM(C36:C39)</f>
        <v>1676.17359</v>
      </c>
      <c r="D40" s="33" t="n">
        <f aca="false">SUM(D36:D39)</f>
        <v>1665.496384</v>
      </c>
      <c r="E40" s="33" t="n">
        <f aca="false">SUM(E36:E39)</f>
        <v>1816.450812508</v>
      </c>
      <c r="F40" s="33" t="n">
        <f aca="false">SUM(F36:F39)</f>
        <v>1986.40702142096</v>
      </c>
      <c r="G40" s="33" t="n">
        <f aca="false">SUM(G36:G39)</f>
        <v>2154.90499170265</v>
      </c>
      <c r="H40" s="33" t="n">
        <f aca="false">SUM(H36:H39)</f>
        <v>2323.40322421475</v>
      </c>
      <c r="I40" s="33" t="n">
        <f aca="false">SUM(I36:I39)</f>
        <v>2429.43782232657</v>
      </c>
      <c r="J40" s="33" t="n">
        <f aca="false">SUM(J36:J39)</f>
        <v>2528.63633726387</v>
      </c>
      <c r="L40" s="5" t="s">
        <v>161</v>
      </c>
      <c r="M40" s="36" t="n">
        <f aca="false">M29/((J33+J37)*(1+Inputs!$B$27))</f>
        <v>9.79085198993522</v>
      </c>
    </row>
    <row r="41" customFormat="false" ht="15" hidden="false" customHeight="false" outlineLevel="0" collapsed="false">
      <c r="A41" s="5" t="s">
        <v>162</v>
      </c>
      <c r="C41" s="26" t="n">
        <f aca="false">C40/C30</f>
        <v>0.327151459732919</v>
      </c>
      <c r="D41" s="26" t="n">
        <f aca="false">D40/D30</f>
        <v>0.311988219539028</v>
      </c>
      <c r="E41" s="26" t="n">
        <f aca="false">E40/E30</f>
        <v>0.318619176603799</v>
      </c>
      <c r="F41" s="26" t="n">
        <f aca="false">F40/F30</f>
        <v>0.326445034214533</v>
      </c>
      <c r="G41" s="26" t="n">
        <f aca="false">G40/G30</f>
        <v>0.33464861520218</v>
      </c>
      <c r="H41" s="26" t="n">
        <f aca="false">H40/H30</f>
        <v>0.342687940242551</v>
      </c>
      <c r="I41" s="26" t="n">
        <f aca="false">I40/I30</f>
        <v>0.343071191013114</v>
      </c>
      <c r="J41" s="26" t="n">
        <f aca="false">J40/J30</f>
        <v>0.343265739410062</v>
      </c>
      <c r="L41" s="5" t="s">
        <v>163</v>
      </c>
      <c r="M41" s="36" t="n">
        <f aca="false">M31/D33</f>
        <v>12.0103835617657</v>
      </c>
    </row>
    <row r="42" customFormat="false" ht="15" hidden="false" customHeight="false" outlineLevel="0" collapsed="false">
      <c r="A42" s="5" t="s">
        <v>164</v>
      </c>
      <c r="C42" s="22" t="n">
        <f aca="false">Inputs!$B$13</f>
        <v>0.205479452054795</v>
      </c>
      <c r="D42" s="37" t="n">
        <v>1</v>
      </c>
      <c r="E42" s="37" t="n">
        <v>1</v>
      </c>
      <c r="F42" s="37" t="n">
        <v>1</v>
      </c>
      <c r="G42" s="37" t="n">
        <v>1</v>
      </c>
      <c r="H42" s="37" t="n">
        <v>1</v>
      </c>
      <c r="I42" s="37" t="n">
        <v>1</v>
      </c>
      <c r="J42" s="37" t="n">
        <v>1</v>
      </c>
      <c r="L42" s="5" t="s">
        <v>165</v>
      </c>
      <c r="M42" s="36" t="n">
        <f aca="false">(Inputs!$B$12-Inputs!$B$10+Inputs!$B$11)/D33</f>
        <v>40.7325060960064</v>
      </c>
    </row>
    <row r="43" customFormat="false" ht="15" hidden="false" customHeight="false" outlineLevel="0" collapsed="false">
      <c r="A43" s="5" t="s">
        <v>166</v>
      </c>
      <c r="C43" s="22" t="n">
        <f aca="false">Inputs!$B$13/2</f>
        <v>0.102739726027397</v>
      </c>
      <c r="D43" s="22" t="n">
        <f aca="false">Inputs!$B$13+1-0.5</f>
        <v>0.705479452054795</v>
      </c>
      <c r="E43" s="22" t="n">
        <f aca="false">Inputs!$B$13+2-0.5</f>
        <v>1.70547945205479</v>
      </c>
      <c r="F43" s="22" t="n">
        <f aca="false">Inputs!$B$13+3-0.5</f>
        <v>2.70547945205479</v>
      </c>
      <c r="G43" s="22" t="n">
        <f aca="false">Inputs!$B$13+4-0.5</f>
        <v>3.7054794520548</v>
      </c>
      <c r="H43" s="22" t="n">
        <f aca="false">Inputs!$B$13+5-0.5</f>
        <v>4.7054794520548</v>
      </c>
      <c r="I43" s="22" t="n">
        <f aca="false">Inputs!$B$13+6-0.5</f>
        <v>5.7054794520548</v>
      </c>
      <c r="J43" s="22" t="n">
        <f aca="false">Inputs!$B$13+7-0.5</f>
        <v>6.7054794520548</v>
      </c>
    </row>
    <row r="44" customFormat="false" ht="15" hidden="false" customHeight="false" outlineLevel="0" collapsed="false">
      <c r="A44" s="5" t="s">
        <v>167</v>
      </c>
      <c r="C44" s="38" t="n">
        <f aca="false">1/(1+Inputs!$B$26)^C43</f>
        <v>0.988722280525439</v>
      </c>
      <c r="D44" s="38" t="n">
        <f aca="false">1/(1+Inputs!$B$26)^D43</f>
        <v>0.925075126651758</v>
      </c>
      <c r="E44" s="38" t="n">
        <f aca="false">1/(1+Inputs!$B$26)^E43</f>
        <v>0.828387863866154</v>
      </c>
      <c r="F44" s="38" t="n">
        <f aca="false">1/(1+Inputs!$B$26)^F43</f>
        <v>0.741806187660105</v>
      </c>
      <c r="G44" s="38" t="n">
        <f aca="false">1/(1+Inputs!$B$26)^G43</f>
        <v>0.664273879487604</v>
      </c>
      <c r="H44" s="38" t="n">
        <f aca="false">1/(1+Inputs!$B$26)^H43</f>
        <v>0.594845114950291</v>
      </c>
      <c r="I44" s="38" t="n">
        <f aca="false">1/(1+Inputs!$B$26)^I43</f>
        <v>0.532672925590818</v>
      </c>
      <c r="J44" s="38" t="n">
        <f aca="false">1/(1+Inputs!$B$26)^J43</f>
        <v>0.476998866639751</v>
      </c>
    </row>
    <row r="45" customFormat="false" ht="15" hidden="false" customHeight="false" outlineLevel="0" collapsed="false">
      <c r="A45" s="32" t="s">
        <v>168</v>
      </c>
      <c r="B45" s="35"/>
      <c r="C45" s="33" t="n">
        <f aca="false">C40*C42*C44</f>
        <v>340.534967355064</v>
      </c>
      <c r="D45" s="33" t="n">
        <f aca="false">D40*D42*D44</f>
        <v>1540.70927836684</v>
      </c>
      <c r="E45" s="33" t="n">
        <f aca="false">E40*E42*E44</f>
        <v>1504.72580839144</v>
      </c>
      <c r="F45" s="33" t="n">
        <f aca="false">F40*F42*F44</f>
        <v>1473.52901970155</v>
      </c>
      <c r="G45" s="33" t="n">
        <f aca="false">G40*G42*G44</f>
        <v>1431.44709876552</v>
      </c>
      <c r="H45" s="33" t="n">
        <f aca="false">H40*H42*H44</f>
        <v>1382.0650579839</v>
      </c>
      <c r="I45" s="33" t="n">
        <f aca="false">I40*I42*I44</f>
        <v>1294.09575235968</v>
      </c>
      <c r="J45" s="33" t="n">
        <f aca="false">J40*J42*J44</f>
        <v>1206.15666701896</v>
      </c>
    </row>
    <row r="48" customFormat="false" ht="15" hidden="false" customHeight="false" outlineLevel="0" collapsed="false">
      <c r="A48" s="3" t="s">
        <v>171</v>
      </c>
      <c r="B48" s="4" t="s">
        <v>139</v>
      </c>
      <c r="C48" s="4" t="s">
        <v>72</v>
      </c>
      <c r="D48" s="4" t="s">
        <v>73</v>
      </c>
      <c r="E48" s="4" t="s">
        <v>74</v>
      </c>
      <c r="F48" s="4" t="s">
        <v>75</v>
      </c>
      <c r="G48" s="4" t="s">
        <v>76</v>
      </c>
      <c r="H48" s="4" t="s">
        <v>77</v>
      </c>
      <c r="I48" s="4" t="s">
        <v>78</v>
      </c>
      <c r="J48" s="4" t="s">
        <v>79</v>
      </c>
      <c r="L48" s="30" t="s">
        <v>172</v>
      </c>
      <c r="M48" s="31"/>
    </row>
    <row r="49" customFormat="false" ht="15" hidden="false" customHeight="false" outlineLevel="0" collapsed="false">
      <c r="A49" s="5" t="s">
        <v>100</v>
      </c>
      <c r="B49" s="8" t="n">
        <f aca="false">Historicals!C5</f>
        <v>2628</v>
      </c>
      <c r="C49" s="21" t="n">
        <f aca="false">B49*(1+Inputs!C51)</f>
        <v>3101.04</v>
      </c>
      <c r="D49" s="21" t="n">
        <f aca="false">C49*(1+Inputs!D51)</f>
        <v>3969.3312</v>
      </c>
      <c r="E49" s="21" t="n">
        <f aca="false">D49*(1+Inputs!E51)</f>
        <v>4921.970688</v>
      </c>
      <c r="F49" s="21" t="n">
        <f aca="false">E49*(1+Inputs!F51)</f>
        <v>5906.3648256</v>
      </c>
      <c r="G49" s="21" t="n">
        <f aca="false">F49*(1+Inputs!G51)</f>
        <v>6910.446845952</v>
      </c>
      <c r="H49" s="21" t="n">
        <f aca="false">G49*(1+Inputs!H51)</f>
        <v>7947.0138728448</v>
      </c>
      <c r="I49" s="21" t="n">
        <f aca="false">H49*(1+Inputs!I51)</f>
        <v>8980.12567631462</v>
      </c>
      <c r="J49" s="21" t="n">
        <f aca="false">I49*(1+Inputs!J51)</f>
        <v>9967.93950070923</v>
      </c>
      <c r="L49" s="5" t="s">
        <v>141</v>
      </c>
      <c r="M49" s="21" t="n">
        <f aca="false">SUM(C67:J67)</f>
        <v>23379.5849832168</v>
      </c>
    </row>
    <row r="50" customFormat="false" ht="15" hidden="false" customHeight="false" outlineLevel="0" collapsed="false">
      <c r="A50" s="5" t="s">
        <v>101</v>
      </c>
      <c r="B50" s="8" t="n">
        <f aca="false">Historicals!C6</f>
        <v>1514</v>
      </c>
      <c r="C50" s="21" t="n">
        <f aca="false">B50*(1+Inputs!C52)</f>
        <v>1635.12</v>
      </c>
      <c r="D50" s="21" t="n">
        <f aca="false">C50*(1+Inputs!D52)</f>
        <v>1962.144</v>
      </c>
      <c r="E50" s="21" t="n">
        <f aca="false">D50*(1+Inputs!E52)</f>
        <v>2315.32992</v>
      </c>
      <c r="F50" s="21" t="n">
        <f aca="false">E50*(1+Inputs!F52)</f>
        <v>2662.629408</v>
      </c>
      <c r="G50" s="21" t="n">
        <f aca="false">F50*(1+Inputs!G52)</f>
        <v>3008.77123104</v>
      </c>
      <c r="H50" s="21" t="n">
        <f aca="false">G50*(1+Inputs!H52)</f>
        <v>3339.7360664544</v>
      </c>
      <c r="I50" s="21" t="n">
        <f aca="false">H50*(1+Inputs!I52)</f>
        <v>3673.70967309984</v>
      </c>
      <c r="J50" s="21" t="n">
        <f aca="false">I50*(1+Inputs!J52)</f>
        <v>4004.34354367883</v>
      </c>
      <c r="L50" s="5" t="s">
        <v>142</v>
      </c>
      <c r="M50" s="21" t="n">
        <f aca="false">J62</f>
        <v>8097.98589187432</v>
      </c>
    </row>
    <row r="51" customFormat="false" ht="15" hidden="false" customHeight="false" outlineLevel="0" collapsed="false">
      <c r="A51" s="5" t="s">
        <v>102</v>
      </c>
      <c r="B51" s="8" t="n">
        <f aca="false">Historicals!C7</f>
        <v>331</v>
      </c>
      <c r="C51" s="21" t="n">
        <f aca="false">B51*(1+Inputs!C53)</f>
        <v>513.05</v>
      </c>
      <c r="D51" s="21" t="n">
        <f aca="false">C51*(1+Inputs!D53)</f>
        <v>820.88</v>
      </c>
      <c r="E51" s="21" t="n">
        <f aca="false">D51*(1+Inputs!E53)</f>
        <v>1231.32</v>
      </c>
      <c r="F51" s="21" t="n">
        <f aca="false">E51*(1+Inputs!F53)</f>
        <v>1723.848</v>
      </c>
      <c r="G51" s="21" t="n">
        <f aca="false">F51*(1+Inputs!G53)</f>
        <v>2275.47936</v>
      </c>
      <c r="H51" s="21" t="n">
        <f aca="false">G51*(1+Inputs!H53)</f>
        <v>2867.1039936</v>
      </c>
      <c r="I51" s="21" t="n">
        <f aca="false">H51*(1+Inputs!I53)</f>
        <v>3469.195832256</v>
      </c>
      <c r="J51" s="21" t="n">
        <f aca="false">I51*(1+Inputs!J53)</f>
        <v>4058.95912373952</v>
      </c>
      <c r="L51" s="5" t="s">
        <v>143</v>
      </c>
      <c r="M51" s="21" t="n">
        <f aca="false">M50*(1+Inputs!$B$27)/(Inputs!$B$26-Inputs!$B$27)</f>
        <v>109778.320159146</v>
      </c>
    </row>
    <row r="52" customFormat="false" ht="15" hidden="false" customHeight="false" outlineLevel="0" collapsed="false">
      <c r="A52" s="9" t="s">
        <v>103</v>
      </c>
      <c r="B52" s="27" t="n">
        <f aca="false">SUM(B49:B51)</f>
        <v>4473</v>
      </c>
      <c r="C52" s="27" t="n">
        <f aca="false">SUM(C49:C51)</f>
        <v>5249.21</v>
      </c>
      <c r="D52" s="27" t="n">
        <f aca="false">SUM(D49:D51)</f>
        <v>6752.3552</v>
      </c>
      <c r="E52" s="27" t="n">
        <f aca="false">SUM(E49:E51)</f>
        <v>8468.620608</v>
      </c>
      <c r="F52" s="27" t="n">
        <f aca="false">SUM(F49:F51)</f>
        <v>10292.8422336</v>
      </c>
      <c r="G52" s="27" t="n">
        <f aca="false">SUM(G49:G51)</f>
        <v>12194.697436992</v>
      </c>
      <c r="H52" s="27" t="n">
        <f aca="false">SUM(H49:H51)</f>
        <v>14153.8539328992</v>
      </c>
      <c r="I52" s="27" t="n">
        <f aca="false">SUM(I49:I51)</f>
        <v>16123.0311816705</v>
      </c>
      <c r="J52" s="27" t="n">
        <f aca="false">SUM(J49:J51)</f>
        <v>18031.2421681276</v>
      </c>
      <c r="L52" s="5" t="s">
        <v>144</v>
      </c>
      <c r="M52" s="21" t="n">
        <f aca="false">M51/(1+Inputs!$B$26)^(Inputs!$B$13+7)</f>
        <v>49552.1257299345</v>
      </c>
    </row>
    <row r="53" customFormat="false" ht="15" hidden="false" customHeight="false" outlineLevel="0" collapsed="false">
      <c r="A53" s="5" t="s">
        <v>104</v>
      </c>
      <c r="C53" s="26" t="n">
        <f aca="false">C52/B52-1</f>
        <v>0.173532304940756</v>
      </c>
      <c r="D53" s="26" t="n">
        <f aca="false">D52/C52-1</f>
        <v>0.28635646125798</v>
      </c>
      <c r="E53" s="26" t="n">
        <f aca="false">E52/D52-1</f>
        <v>0.254172856309455</v>
      </c>
      <c r="F53" s="26" t="n">
        <f aca="false">F52/E52-1</f>
        <v>0.2154095348039</v>
      </c>
      <c r="G53" s="26" t="n">
        <f aca="false">G52/F52-1</f>
        <v>0.184774541397669</v>
      </c>
      <c r="H53" s="26" t="n">
        <f aca="false">H52/G52-1</f>
        <v>0.160656425141324</v>
      </c>
      <c r="I53" s="26" t="n">
        <f aca="false">I52/H52-1</f>
        <v>0.139126576980854</v>
      </c>
      <c r="J53" s="26" t="n">
        <f aca="false">J52/I52-1</f>
        <v>0.118353116418113</v>
      </c>
      <c r="L53" s="9" t="s">
        <v>145</v>
      </c>
      <c r="M53" s="27" t="n">
        <f aca="false">M49+M52</f>
        <v>72931.7107131513</v>
      </c>
    </row>
    <row r="54" customFormat="false" ht="15" hidden="false" customHeight="false" outlineLevel="0" collapsed="false">
      <c r="A54" s="5" t="s">
        <v>146</v>
      </c>
      <c r="B54" s="8" t="n">
        <f aca="false">Historicals!C17</f>
        <v>2379</v>
      </c>
      <c r="C54" s="21" t="n">
        <f aca="false">C52*Inputs!C54</f>
        <v>2965.80365</v>
      </c>
      <c r="D54" s="21" t="n">
        <f aca="false">D52*Inputs!D54</f>
        <v>3511.224704</v>
      </c>
      <c r="E54" s="21" t="n">
        <f aca="false">E52*Inputs!E54</f>
        <v>4149.62409792</v>
      </c>
      <c r="F54" s="21" t="n">
        <f aca="false">F52*Inputs!F54</f>
        <v>4786.171638624</v>
      </c>
      <c r="G54" s="21" t="n">
        <f aca="false">G52*Inputs!G54</f>
        <v>5426.64035946144</v>
      </c>
      <c r="H54" s="21" t="n">
        <f aca="false">H52*Inputs!H54</f>
        <v>6086.15719114666</v>
      </c>
      <c r="I54" s="21" t="n">
        <f aca="false">I52*Inputs!I54</f>
        <v>6771.67309630159</v>
      </c>
      <c r="J54" s="21" t="n">
        <f aca="false">J52*Inputs!J54</f>
        <v>7573.12171061358</v>
      </c>
      <c r="L54" s="5" t="s">
        <v>147</v>
      </c>
      <c r="M54" s="8" t="n">
        <f aca="false">Inputs!$B$10</f>
        <v>5362</v>
      </c>
    </row>
    <row r="55" customFormat="false" ht="15" hidden="false" customHeight="false" outlineLevel="0" collapsed="false">
      <c r="A55" s="32" t="s">
        <v>148</v>
      </c>
      <c r="B55" s="33" t="n">
        <f aca="false">B52-B54</f>
        <v>2094</v>
      </c>
      <c r="C55" s="33" t="n">
        <f aca="false">C52-C54</f>
        <v>2283.40635</v>
      </c>
      <c r="D55" s="33" t="n">
        <f aca="false">D52-D54</f>
        <v>3241.130496</v>
      </c>
      <c r="E55" s="33" t="n">
        <f aca="false">E52-E54</f>
        <v>4318.99651008</v>
      </c>
      <c r="F55" s="33" t="n">
        <f aca="false">F52-F54</f>
        <v>5506.670594976</v>
      </c>
      <c r="G55" s="33" t="n">
        <f aca="false">G52-G54</f>
        <v>6768.05707753056</v>
      </c>
      <c r="H55" s="33" t="n">
        <f aca="false">H52-H54</f>
        <v>8067.69674175254</v>
      </c>
      <c r="I55" s="33" t="n">
        <f aca="false">I52-I54</f>
        <v>9351.35808536887</v>
      </c>
      <c r="J55" s="33" t="n">
        <f aca="false">J52-J54</f>
        <v>10458.120457514</v>
      </c>
      <c r="L55" s="5" t="s">
        <v>149</v>
      </c>
      <c r="M55" s="8" t="n">
        <f aca="false">-Inputs!$B$11</f>
        <v>-2170</v>
      </c>
    </row>
    <row r="56" customFormat="false" ht="15" hidden="false" customHeight="false" outlineLevel="0" collapsed="false">
      <c r="A56" s="5" t="s">
        <v>114</v>
      </c>
      <c r="B56" s="26" t="n">
        <f aca="false">B55/B52</f>
        <v>0.468142186452046</v>
      </c>
      <c r="C56" s="26" t="n">
        <f aca="false">C55/C52</f>
        <v>0.435</v>
      </c>
      <c r="D56" s="26" t="n">
        <f aca="false">D55/D52</f>
        <v>0.48</v>
      </c>
      <c r="E56" s="26" t="n">
        <f aca="false">E55/E52</f>
        <v>0.51</v>
      </c>
      <c r="F56" s="26" t="n">
        <f aca="false">F55/F52</f>
        <v>0.535</v>
      </c>
      <c r="G56" s="26" t="n">
        <f aca="false">G55/G52</f>
        <v>0.555</v>
      </c>
      <c r="H56" s="26" t="n">
        <f aca="false">H55/H52</f>
        <v>0.57</v>
      </c>
      <c r="I56" s="26" t="n">
        <f aca="false">I55/I52</f>
        <v>0.58</v>
      </c>
      <c r="J56" s="26" t="n">
        <f aca="false">J55/J52</f>
        <v>0.58</v>
      </c>
      <c r="L56" s="9" t="s">
        <v>150</v>
      </c>
      <c r="M56" s="27" t="n">
        <f aca="false">SUM(M53:M55)</f>
        <v>76123.7107131513</v>
      </c>
    </row>
    <row r="57" customFormat="false" ht="15" hidden="false" customHeight="false" outlineLevel="0" collapsed="false">
      <c r="A57" s="5" t="s">
        <v>151</v>
      </c>
      <c r="C57" s="21" t="n">
        <f aca="false">-C55*Inputs!$B$22</f>
        <v>-502.349397</v>
      </c>
      <c r="D57" s="21" t="n">
        <f aca="false">-D55*Inputs!$B$22</f>
        <v>-713.04870912</v>
      </c>
      <c r="E57" s="21" t="n">
        <f aca="false">-E55*Inputs!$B$22</f>
        <v>-950.1792322176</v>
      </c>
      <c r="F57" s="21" t="n">
        <f aca="false">-F55*Inputs!$B$22</f>
        <v>-1211.46753089472</v>
      </c>
      <c r="G57" s="21" t="n">
        <f aca="false">-G55*Inputs!$B$22</f>
        <v>-1488.97255705672</v>
      </c>
      <c r="H57" s="21" t="n">
        <f aca="false">-H55*Inputs!$B$22</f>
        <v>-1774.89328318556</v>
      </c>
      <c r="I57" s="21" t="n">
        <f aca="false">-I55*Inputs!$B$22</f>
        <v>-2057.29877878115</v>
      </c>
      <c r="J57" s="21" t="n">
        <f aca="false">-J55*Inputs!$B$22</f>
        <v>-2300.78650065308</v>
      </c>
      <c r="L57" s="5" t="s">
        <v>37</v>
      </c>
      <c r="M57" s="34" t="n">
        <f aca="false">Inputs!$B$9</f>
        <v>912</v>
      </c>
    </row>
    <row r="58" customFormat="false" ht="15" hidden="false" customHeight="false" outlineLevel="0" collapsed="false">
      <c r="A58" s="5" t="s">
        <v>152</v>
      </c>
      <c r="C58" s="21" t="n">
        <f aca="false">C55+C57</f>
        <v>1781.056953</v>
      </c>
      <c r="D58" s="21" t="n">
        <f aca="false">D55+D57</f>
        <v>2528.08178688</v>
      </c>
      <c r="E58" s="21" t="n">
        <f aca="false">E55+E57</f>
        <v>3368.8172778624</v>
      </c>
      <c r="F58" s="21" t="n">
        <f aca="false">F55+F57</f>
        <v>4295.20306408128</v>
      </c>
      <c r="G58" s="21" t="n">
        <f aca="false">G55+G57</f>
        <v>5279.08452047384</v>
      </c>
      <c r="H58" s="21" t="n">
        <f aca="false">H55+H57</f>
        <v>6292.80345856698</v>
      </c>
      <c r="I58" s="21" t="n">
        <f aca="false">I55+I57</f>
        <v>7294.05930658772</v>
      </c>
      <c r="J58" s="21" t="n">
        <f aca="false">J55+J57</f>
        <v>8157.33395686092</v>
      </c>
      <c r="L58" s="9" t="s">
        <v>153</v>
      </c>
      <c r="M58" s="11" t="n">
        <f aca="false">M56/M57</f>
        <v>83.468981045122</v>
      </c>
    </row>
    <row r="59" customFormat="false" ht="15" hidden="false" customHeight="false" outlineLevel="0" collapsed="false">
      <c r="A59" s="5" t="s">
        <v>154</v>
      </c>
      <c r="C59" s="21" t="n">
        <f aca="false">C52*Inputs!$B$31</f>
        <v>89.23657</v>
      </c>
      <c r="D59" s="21" t="n">
        <f aca="false">D52*Inputs!$B$31</f>
        <v>114.7900384</v>
      </c>
      <c r="E59" s="21" t="n">
        <f aca="false">E52*Inputs!$B$31</f>
        <v>143.966550336</v>
      </c>
      <c r="F59" s="21" t="n">
        <f aca="false">F52*Inputs!$B$31</f>
        <v>174.9783179712</v>
      </c>
      <c r="G59" s="21" t="n">
        <f aca="false">G52*Inputs!$B$31</f>
        <v>207.309856428864</v>
      </c>
      <c r="H59" s="21" t="n">
        <f aca="false">H52*Inputs!$B$31</f>
        <v>240.615516859286</v>
      </c>
      <c r="I59" s="21" t="n">
        <f aca="false">I52*Inputs!$B$31</f>
        <v>274.091530088398</v>
      </c>
      <c r="J59" s="21" t="n">
        <f aca="false">J52*Inputs!$B$31</f>
        <v>306.531116858169</v>
      </c>
      <c r="L59" s="5" t="s">
        <v>155</v>
      </c>
      <c r="M59" s="6" t="n">
        <f aca="false">Inputs!$B$6</f>
        <v>98.87</v>
      </c>
    </row>
    <row r="60" customFormat="false" ht="15" hidden="false" customHeight="false" outlineLevel="0" collapsed="false">
      <c r="A60" s="5" t="s">
        <v>156</v>
      </c>
      <c r="C60" s="21" t="n">
        <f aca="false">-C52*Inputs!$B$32</f>
        <v>-78.73815</v>
      </c>
      <c r="D60" s="21" t="n">
        <f aca="false">-D52*Inputs!$B$32</f>
        <v>-101.285328</v>
      </c>
      <c r="E60" s="21" t="n">
        <f aca="false">-E52*Inputs!$B$32</f>
        <v>-127.02930912</v>
      </c>
      <c r="F60" s="21" t="n">
        <f aca="false">-F52*Inputs!$B$32</f>
        <v>-154.392633504</v>
      </c>
      <c r="G60" s="21" t="n">
        <f aca="false">-G52*Inputs!$B$32</f>
        <v>-182.92046155488</v>
      </c>
      <c r="H60" s="21" t="n">
        <f aca="false">-H52*Inputs!$B$32</f>
        <v>-212.307808993488</v>
      </c>
      <c r="I60" s="21" t="n">
        <f aca="false">-I52*Inputs!$B$32</f>
        <v>-241.845467725057</v>
      </c>
      <c r="J60" s="21" t="n">
        <f aca="false">-J52*Inputs!$B$32</f>
        <v>-270.468632521914</v>
      </c>
      <c r="L60" s="5" t="s">
        <v>157</v>
      </c>
      <c r="M60" s="26" t="n">
        <f aca="false">M58/M59-1</f>
        <v>-0.15577039501242</v>
      </c>
    </row>
    <row r="61" customFormat="false" ht="15" hidden="false" customHeight="false" outlineLevel="0" collapsed="false">
      <c r="A61" s="5" t="s">
        <v>158</v>
      </c>
      <c r="C61" s="21" t="n">
        <f aca="false">-(C52-B52)*Inputs!$B$33</f>
        <v>-38.8105</v>
      </c>
      <c r="D61" s="21" t="n">
        <f aca="false">-(D52-C52)*Inputs!$B$33</f>
        <v>-75.15726</v>
      </c>
      <c r="E61" s="21" t="n">
        <f aca="false">-(E52-D52)*Inputs!$B$33</f>
        <v>-85.8132704</v>
      </c>
      <c r="F61" s="21" t="n">
        <f aca="false">-(F52-E52)*Inputs!$B$33</f>
        <v>-91.2110812800001</v>
      </c>
      <c r="G61" s="21" t="n">
        <f aca="false">-(G52-F52)*Inputs!$B$33</f>
        <v>-95.0927601695999</v>
      </c>
      <c r="H61" s="21" t="n">
        <f aca="false">-(H52-G52)*Inputs!$B$33</f>
        <v>-97.95782479536</v>
      </c>
      <c r="I61" s="21" t="n">
        <f aca="false">-(I52-H52)*Inputs!$B$33</f>
        <v>-98.4588624385631</v>
      </c>
      <c r="J61" s="21" t="n">
        <f aca="false">-(J52-I52)*Inputs!$B$33</f>
        <v>-95.4105493228558</v>
      </c>
      <c r="L61" s="5" t="s">
        <v>159</v>
      </c>
      <c r="M61" s="26" t="n">
        <f aca="false">M52/M53</f>
        <v>0.679431830755056</v>
      </c>
    </row>
    <row r="62" customFormat="false" ht="15" hidden="false" customHeight="false" outlineLevel="0" collapsed="false">
      <c r="A62" s="32" t="s">
        <v>160</v>
      </c>
      <c r="B62" s="35"/>
      <c r="C62" s="33" t="n">
        <f aca="false">SUM(C58:C61)</f>
        <v>1752.744873</v>
      </c>
      <c r="D62" s="33" t="n">
        <f aca="false">SUM(D58:D61)</f>
        <v>2466.42923728</v>
      </c>
      <c r="E62" s="33" t="n">
        <f aca="false">SUM(E58:E61)</f>
        <v>3299.9412486784</v>
      </c>
      <c r="F62" s="33" t="n">
        <f aca="false">SUM(F58:F61)</f>
        <v>4224.57766726848</v>
      </c>
      <c r="G62" s="33" t="n">
        <f aca="false">SUM(G58:G61)</f>
        <v>5208.38115517822</v>
      </c>
      <c r="H62" s="33" t="n">
        <f aca="false">SUM(H58:H61)</f>
        <v>6223.15334163742</v>
      </c>
      <c r="I62" s="33" t="n">
        <f aca="false">SUM(I58:I61)</f>
        <v>7227.8465065125</v>
      </c>
      <c r="J62" s="33" t="n">
        <f aca="false">SUM(J58:J61)</f>
        <v>8097.98589187432</v>
      </c>
      <c r="L62" s="5" t="s">
        <v>161</v>
      </c>
      <c r="M62" s="36" t="n">
        <f aca="false">M51/((J55+J59)*(1+Inputs!$B$27))</f>
        <v>9.80580526427849</v>
      </c>
    </row>
    <row r="63" customFormat="false" ht="15" hidden="false" customHeight="false" outlineLevel="0" collapsed="false">
      <c r="A63" s="5" t="s">
        <v>162</v>
      </c>
      <c r="C63" s="26" t="n">
        <f aca="false">C62/C52</f>
        <v>0.333906411250455</v>
      </c>
      <c r="D63" s="26" t="n">
        <f aca="false">D62/D52</f>
        <v>0.365269474757489</v>
      </c>
      <c r="E63" s="26" t="n">
        <f aca="false">E62/E52</f>
        <v>0.389666912880837</v>
      </c>
      <c r="F63" s="26" t="n">
        <f aca="false">F62/F52</f>
        <v>0.410438397032624</v>
      </c>
      <c r="G63" s="26" t="n">
        <f aca="false">G62/G52</f>
        <v>0.427102122220668</v>
      </c>
      <c r="H63" s="26" t="n">
        <f aca="false">H62/H52</f>
        <v>0.439679070530206</v>
      </c>
      <c r="I63" s="26" t="n">
        <f aca="false">I62/I52</f>
        <v>0.448293278420841</v>
      </c>
      <c r="J63" s="26" t="n">
        <f aca="false">J62/J52</f>
        <v>0.449108598085854</v>
      </c>
      <c r="L63" s="5" t="s">
        <v>163</v>
      </c>
      <c r="M63" s="36" t="n">
        <f aca="false">M53/D55</f>
        <v>22.5019359150022</v>
      </c>
    </row>
    <row r="64" customFormat="false" ht="15" hidden="false" customHeight="false" outlineLevel="0" collapsed="false">
      <c r="A64" s="5" t="s">
        <v>164</v>
      </c>
      <c r="C64" s="22" t="n">
        <f aca="false">Inputs!$B$13</f>
        <v>0.205479452054795</v>
      </c>
      <c r="D64" s="37" t="n">
        <v>1</v>
      </c>
      <c r="E64" s="37" t="n">
        <v>1</v>
      </c>
      <c r="F64" s="37" t="n">
        <v>1</v>
      </c>
      <c r="G64" s="37" t="n">
        <v>1</v>
      </c>
      <c r="H64" s="37" t="n">
        <v>1</v>
      </c>
      <c r="I64" s="37" t="n">
        <v>1</v>
      </c>
      <c r="J64" s="37" t="n">
        <v>1</v>
      </c>
      <c r="L64" s="5" t="s">
        <v>165</v>
      </c>
      <c r="M64" s="36" t="n">
        <f aca="false">(Inputs!$B$12-Inputs!$B$10+Inputs!$B$11)/D55</f>
        <v>26.8355254770958</v>
      </c>
    </row>
    <row r="65" customFormat="false" ht="15" hidden="false" customHeight="false" outlineLevel="0" collapsed="false">
      <c r="A65" s="5" t="s">
        <v>166</v>
      </c>
      <c r="C65" s="22" t="n">
        <f aca="false">Inputs!$B$13/2</f>
        <v>0.102739726027397</v>
      </c>
      <c r="D65" s="22" t="n">
        <f aca="false">Inputs!$B$13+1-0.5</f>
        <v>0.705479452054795</v>
      </c>
      <c r="E65" s="22" t="n">
        <f aca="false">Inputs!$B$13+2-0.5</f>
        <v>1.70547945205479</v>
      </c>
      <c r="F65" s="22" t="n">
        <f aca="false">Inputs!$B$13+3-0.5</f>
        <v>2.70547945205479</v>
      </c>
      <c r="G65" s="22" t="n">
        <f aca="false">Inputs!$B$13+4-0.5</f>
        <v>3.7054794520548</v>
      </c>
      <c r="H65" s="22" t="n">
        <f aca="false">Inputs!$B$13+5-0.5</f>
        <v>4.7054794520548</v>
      </c>
      <c r="I65" s="22" t="n">
        <f aca="false">Inputs!$B$13+6-0.5</f>
        <v>5.7054794520548</v>
      </c>
      <c r="J65" s="22" t="n">
        <f aca="false">Inputs!$B$13+7-0.5</f>
        <v>6.7054794520548</v>
      </c>
    </row>
    <row r="66" customFormat="false" ht="15" hidden="false" customHeight="false" outlineLevel="0" collapsed="false">
      <c r="A66" s="5" t="s">
        <v>167</v>
      </c>
      <c r="C66" s="38" t="n">
        <f aca="false">1/(1+Inputs!$B$26)^C65</f>
        <v>0.988722280525439</v>
      </c>
      <c r="D66" s="38" t="n">
        <f aca="false">1/(1+Inputs!$B$26)^D65</f>
        <v>0.925075126651758</v>
      </c>
      <c r="E66" s="38" t="n">
        <f aca="false">1/(1+Inputs!$B$26)^E65</f>
        <v>0.828387863866154</v>
      </c>
      <c r="F66" s="38" t="n">
        <f aca="false">1/(1+Inputs!$B$26)^F65</f>
        <v>0.741806187660105</v>
      </c>
      <c r="G66" s="38" t="n">
        <f aca="false">1/(1+Inputs!$B$26)^G65</f>
        <v>0.664273879487604</v>
      </c>
      <c r="H66" s="38" t="n">
        <f aca="false">1/(1+Inputs!$B$26)^H65</f>
        <v>0.594845114950291</v>
      </c>
      <c r="I66" s="38" t="n">
        <f aca="false">1/(1+Inputs!$B$26)^I65</f>
        <v>0.532672925590818</v>
      </c>
      <c r="J66" s="38" t="n">
        <f aca="false">1/(1+Inputs!$B$26)^J65</f>
        <v>0.476998866639751</v>
      </c>
    </row>
    <row r="67" customFormat="false" ht="15" hidden="false" customHeight="false" outlineLevel="0" collapsed="false">
      <c r="A67" s="32" t="s">
        <v>168</v>
      </c>
      <c r="B67" s="35"/>
      <c r="C67" s="33" t="n">
        <f aca="false">C62*C64*C66</f>
        <v>356.091350961335</v>
      </c>
      <c r="D67" s="33" t="n">
        <f aca="false">D62*D64*D66</f>
        <v>2281.63233905439</v>
      </c>
      <c r="E67" s="33" t="n">
        <f aca="false">E62*E64*E66</f>
        <v>2733.63128187651</v>
      </c>
      <c r="F67" s="33" t="n">
        <f aca="false">F62*F64*F66</f>
        <v>3133.81785383045</v>
      </c>
      <c r="G67" s="33" t="n">
        <f aca="false">G62*G64*G66</f>
        <v>3459.79155580037</v>
      </c>
      <c r="H67" s="33" t="n">
        <f aca="false">H62*H64*H66</f>
        <v>3701.8123648596</v>
      </c>
      <c r="I67" s="33" t="n">
        <f aca="false">I62*I64*I66</f>
        <v>3850.07814434538</v>
      </c>
      <c r="J67" s="33" t="n">
        <f aca="false">J62*J64*J66</f>
        <v>3862.73009248874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8" min="2" style="0" width="12"/>
  </cols>
  <sheetData>
    <row r="1" customFormat="false" ht="19.7" hidden="false" customHeight="false" outlineLevel="0" collapsed="false">
      <c r="A1" s="1" t="s">
        <v>173</v>
      </c>
    </row>
    <row r="2" customFormat="false" ht="15" hidden="false" customHeight="false" outlineLevel="0" collapsed="false">
      <c r="A2" s="2" t="s">
        <v>174</v>
      </c>
    </row>
    <row r="4" customFormat="false" ht="15" hidden="false" customHeight="false" outlineLevel="0" collapsed="false">
      <c r="A4" s="10" t="s">
        <v>175</v>
      </c>
      <c r="B4" s="5"/>
      <c r="C4" s="39" t="n">
        <v>0.03</v>
      </c>
      <c r="D4" s="39" t="n">
        <v>0.035</v>
      </c>
      <c r="E4" s="39" t="n">
        <v>0.04</v>
      </c>
      <c r="F4" s="39" t="n">
        <v>0.045</v>
      </c>
      <c r="G4" s="39" t="n">
        <v>0.05</v>
      </c>
    </row>
    <row r="5" customFormat="false" ht="15" hidden="false" customHeight="false" outlineLevel="0" collapsed="false">
      <c r="B5" s="40" t="n">
        <v>0.095</v>
      </c>
      <c r="C5" s="41" t="n">
        <f aca="false">(SUMPRODUCT(DCF!$C$18:$J$18,DCF!$C$20:$J$20,1/(1+$B5)^DCF!$C$21:$J$21)+DCF!$J$18*(1+C$4)/($B5-C$4)/(1+$B5)^(Inputs!$B$13+7)+Inputs!$B$10-Inputs!$B$11)/Inputs!$B$9</f>
        <v>67.6113110769394</v>
      </c>
      <c r="D5" s="41" t="n">
        <f aca="false">(SUMPRODUCT(DCF!$C$18:$J$18,DCF!$C$20:$J$20,1/(1+$B5)^DCF!$C$21:$J$21)+DCF!$J$18*(1+D$4)/($B5-D$4)/(1+$B5)^(Inputs!$B$13+7)+Inputs!$B$10-Inputs!$B$11)/Inputs!$B$9</f>
        <v>71.5696294801899</v>
      </c>
      <c r="E5" s="41" t="n">
        <f aca="false">(SUMPRODUCT(DCF!$C$18:$J$18,DCF!$C$20:$J$20,1/(1+$B5)^DCF!$C$21:$J$21)+DCF!$J$18*(1+E$4)/($B5-E$4)/(1+$B5)^(Inputs!$B$13+7)+Inputs!$B$10-Inputs!$B$11)/Inputs!$B$9</f>
        <v>76.2476421385768</v>
      </c>
      <c r="F5" s="41" t="n">
        <f aca="false">(SUMPRODUCT(DCF!$C$18:$J$18,DCF!$C$20:$J$20,1/(1+$B5)^DCF!$C$21:$J$21)+DCF!$J$18*(1+F$4)/($B5-F$4)/(1+$B5)^(Inputs!$B$13+7)+Inputs!$B$10-Inputs!$B$11)/Inputs!$B$9</f>
        <v>81.8612573286411</v>
      </c>
      <c r="G5" s="41" t="n">
        <f aca="false">(SUMPRODUCT(DCF!$C$18:$J$18,DCF!$C$20:$J$20,1/(1+$B5)^DCF!$C$21:$J$21)+DCF!$J$18*(1+G$4)/($B5-G$4)/(1+$B5)^(Inputs!$B$13+7)+Inputs!$B$10-Inputs!$B$11)/Inputs!$B$9</f>
        <v>88.7223425609419</v>
      </c>
    </row>
    <row r="6" customFormat="false" ht="15" hidden="false" customHeight="false" outlineLevel="0" collapsed="false">
      <c r="B6" s="40" t="n">
        <v>0.105</v>
      </c>
      <c r="C6" s="41" t="n">
        <f aca="false">(SUMPRODUCT(DCF!$C$18:$J$18,DCF!$C$20:$J$20,1/(1+$B6)^DCF!$C$21:$J$21)+DCF!$J$18*(1+C$4)/($B6-C$4)/(1+$B6)^(Inputs!$B$13+7)+Inputs!$B$10-Inputs!$B$11)/Inputs!$B$9</f>
        <v>58.5416506721189</v>
      </c>
      <c r="D6" s="41" t="n">
        <f aca="false">(SUMPRODUCT(DCF!$C$18:$J$18,DCF!$C$20:$J$20,1/(1+$B6)^DCF!$C$21:$J$21)+DCF!$J$18*(1+D$4)/($B6-D$4)/(1+$B6)^(Inputs!$B$13+7)+Inputs!$B$10-Inputs!$B$11)/Inputs!$B$9</f>
        <v>61.3208251351988</v>
      </c>
      <c r="E6" s="41" t="n">
        <f aca="false">(SUMPRODUCT(DCF!$C$18:$J$18,DCF!$C$20:$J$20,1/(1+$B6)^DCF!$C$21:$J$21)+DCF!$J$18*(1+E$4)/($B6-E$4)/(1+$B6)^(Inputs!$B$13+7)+Inputs!$B$10-Inputs!$B$11)/Inputs!$B$9</f>
        <v>64.527564900291</v>
      </c>
      <c r="F6" s="41" t="n">
        <f aca="false">(SUMPRODUCT(DCF!$C$18:$J$18,DCF!$C$20:$J$20,1/(1+$B6)^DCF!$C$21:$J$21)+DCF!$J$18*(1+F$4)/($B6-F$4)/(1+$B6)^(Inputs!$B$13+7)+Inputs!$B$10-Inputs!$B$11)/Inputs!$B$9</f>
        <v>68.2687612928986</v>
      </c>
      <c r="G6" s="41" t="n">
        <f aca="false">(SUMPRODUCT(DCF!$C$18:$J$18,DCF!$C$20:$J$20,1/(1+$B6)^DCF!$C$21:$J$21)+DCF!$J$18*(1+G$4)/($B6-G$4)/(1+$B6)^(Inputs!$B$13+7)+Inputs!$B$10-Inputs!$B$11)/Inputs!$B$9</f>
        <v>72.6901752114348</v>
      </c>
    </row>
    <row r="7" customFormat="false" ht="15" hidden="false" customHeight="false" outlineLevel="0" collapsed="false">
      <c r="B7" s="42" t="n">
        <f aca="false">Inputs!$B$26</f>
        <v>0.116717382041736</v>
      </c>
      <c r="C7" s="41" t="n">
        <f aca="false">(SUMPRODUCT(DCF!$C$18:$J$18,DCF!$C$20:$J$20,1/(1+$B7)^DCF!$C$21:$J$21)+DCF!$J$18*(1+C$4)/($B7-C$4)/(1+$B7)^(Inputs!$B$13+7)+Inputs!$B$10-Inputs!$B$11)/Inputs!$B$9</f>
        <v>50.6184608299821</v>
      </c>
      <c r="D7" s="41" t="n">
        <f aca="false">(SUMPRODUCT(DCF!$C$18:$J$18,DCF!$C$20:$J$20,1/(1+$B7)^DCF!$C$21:$J$21)+DCF!$J$18*(1+D$4)/($B7-D$4)/(1+$B7)^(Inputs!$B$13+7)+Inputs!$B$10-Inputs!$B$11)/Inputs!$B$9</f>
        <v>52.5469944813219</v>
      </c>
      <c r="E7" s="43" t="n">
        <f aca="false">(SUMPRODUCT(DCF!$C$18:$J$18,DCF!$C$20:$J$20,1/(1+$B7)^DCF!$C$21:$J$21)+DCF!$J$18*(1+E$4)/($B7-E$4)/(1+$B7)^(Inputs!$B$13+7)+Inputs!$B$10-Inputs!$B$11)/Inputs!$B$9</f>
        <v>54.7269097100846</v>
      </c>
      <c r="F7" s="41" t="n">
        <f aca="false">(SUMPRODUCT(DCF!$C$18:$J$18,DCF!$C$20:$J$20,1/(1+$B7)^DCF!$C$21:$J$21)+DCF!$J$18*(1+F$4)/($B7-F$4)/(1+$B7)^(Inputs!$B$13+7)+Inputs!$B$10-Inputs!$B$11)/Inputs!$B$9</f>
        <v>57.210784058199</v>
      </c>
      <c r="G7" s="41" t="n">
        <f aca="false">(SUMPRODUCT(DCF!$C$18:$J$18,DCF!$C$20:$J$20,1/(1+$B7)^DCF!$C$21:$J$21)+DCF!$J$18*(1+G$4)/($B7-G$4)/(1+$B7)^(Inputs!$B$13+7)+Inputs!$B$10-Inputs!$B$11)/Inputs!$B$9</f>
        <v>60.0669563400904</v>
      </c>
    </row>
    <row r="8" customFormat="false" ht="15" hidden="false" customHeight="false" outlineLevel="0" collapsed="false">
      <c r="B8" s="40" t="n">
        <v>0.125</v>
      </c>
      <c r="C8" s="41" t="n">
        <f aca="false">(SUMPRODUCT(DCF!$C$18:$J$18,DCF!$C$20:$J$20,1/(1+$B8)^DCF!$C$21:$J$21)+DCF!$J$18*(1+C$4)/($B8-C$4)/(1+$B8)^(Inputs!$B$13+7)+Inputs!$B$10-Inputs!$B$11)/Inputs!$B$9</f>
        <v>46.2201570355161</v>
      </c>
      <c r="D8" s="41" t="n">
        <f aca="false">(SUMPRODUCT(DCF!$C$18:$J$18,DCF!$C$20:$J$20,1/(1+$B8)^DCF!$C$21:$J$21)+DCF!$J$18*(1+D$4)/($B8-D$4)/(1+$B8)^(Inputs!$B$13+7)+Inputs!$B$10-Inputs!$B$11)/Inputs!$B$9</f>
        <v>47.7469030589198</v>
      </c>
      <c r="E8" s="41" t="n">
        <f aca="false">(SUMPRODUCT(DCF!$C$18:$J$18,DCF!$C$20:$J$20,1/(1+$B8)^DCF!$C$21:$J$21)+DCF!$J$18*(1+E$4)/($B8-E$4)/(1+$B8)^(Inputs!$B$13+7)+Inputs!$B$10-Inputs!$B$11)/Inputs!$B$9</f>
        <v>49.4532662615474</v>
      </c>
      <c r="F8" s="41" t="n">
        <f aca="false">(SUMPRODUCT(DCF!$C$18:$J$18,DCF!$C$20:$J$20,1/(1+$B8)^DCF!$C$21:$J$21)+DCF!$J$18*(1+F$4)/($B8-F$4)/(1+$B8)^(Inputs!$B$13+7)+Inputs!$B$10-Inputs!$B$11)/Inputs!$B$9</f>
        <v>51.3729248645034</v>
      </c>
      <c r="G8" s="41" t="n">
        <f aca="false">(SUMPRODUCT(DCF!$C$18:$J$18,DCF!$C$20:$J$20,1/(1+$B8)^DCF!$C$21:$J$21)+DCF!$J$18*(1+G$4)/($B8-G$4)/(1+$B8)^(Inputs!$B$13+7)+Inputs!$B$10-Inputs!$B$11)/Inputs!$B$9</f>
        <v>53.5485379478536</v>
      </c>
    </row>
    <row r="9" customFormat="false" ht="15" hidden="false" customHeight="false" outlineLevel="0" collapsed="false">
      <c r="B9" s="40" t="n">
        <v>0.135</v>
      </c>
      <c r="C9" s="41" t="n">
        <f aca="false">(SUMPRODUCT(DCF!$C$18:$J$18,DCF!$C$20:$J$20,1/(1+$B9)^DCF!$C$21:$J$21)+DCF!$J$18*(1+C$4)/($B9-C$4)/(1+$B9)^(Inputs!$B$13+7)+Inputs!$B$10-Inputs!$B$11)/Inputs!$B$9</f>
        <v>41.8558486490451</v>
      </c>
      <c r="D9" s="41" t="n">
        <f aca="false">(SUMPRODUCT(DCF!$C$18:$J$18,DCF!$C$20:$J$20,1/(1+$B9)^DCF!$C$21:$J$21)+DCF!$J$18*(1+D$4)/($B9-D$4)/(1+$B9)^(Inputs!$B$13+7)+Inputs!$B$10-Inputs!$B$11)/Inputs!$B$9</f>
        <v>43.0326247816915</v>
      </c>
      <c r="E9" s="41" t="n">
        <f aca="false">(SUMPRODUCT(DCF!$C$18:$J$18,DCF!$C$20:$J$20,1/(1+$B9)^DCF!$C$21:$J$21)+DCF!$J$18*(1+E$4)/($B9-E$4)/(1+$B9)^(Inputs!$B$13+7)+Inputs!$B$10-Inputs!$B$11)/Inputs!$B$9</f>
        <v>44.3332720861955</v>
      </c>
      <c r="F9" s="41" t="n">
        <f aca="false">(SUMPRODUCT(DCF!$C$18:$J$18,DCF!$C$20:$J$20,1/(1+$B9)^DCF!$C$21:$J$21)+DCF!$J$18*(1+F$4)/($B9-F$4)/(1+$B9)^(Inputs!$B$13+7)+Inputs!$B$10-Inputs!$B$11)/Inputs!$B$9</f>
        <v>45.7784357578666</v>
      </c>
      <c r="G9" s="41" t="n">
        <f aca="false">(SUMPRODUCT(DCF!$C$18:$J$18,DCF!$C$20:$J$20,1/(1+$B9)^DCF!$C$21:$J$21)+DCF!$J$18*(1+G$4)/($B9-G$4)/(1+$B9)^(Inputs!$B$13+7)+Inputs!$B$10-Inputs!$B$11)/Inputs!$B$9</f>
        <v>47.3936186850283</v>
      </c>
    </row>
    <row r="10" customFormat="false" ht="15" hidden="false" customHeight="false" outlineLevel="0" collapsed="false">
      <c r="B10" s="40" t="n">
        <v>0.145</v>
      </c>
      <c r="C10" s="41" t="n">
        <f aca="false">(SUMPRODUCT(DCF!$C$18:$J$18,DCF!$C$20:$J$20,1/(1+$B10)^DCF!$C$21:$J$21)+DCF!$J$18*(1+C$4)/($B10-C$4)/(1+$B10)^(Inputs!$B$13+7)+Inputs!$B$10-Inputs!$B$11)/Inputs!$B$9</f>
        <v>38.2702752800252</v>
      </c>
      <c r="D10" s="41" t="n">
        <f aca="false">(SUMPRODUCT(DCF!$C$18:$J$18,DCF!$C$20:$J$20,1/(1+$B10)^DCF!$C$21:$J$21)+DCF!$J$18*(1+D$4)/($B10-D$4)/(1+$B10)^(Inputs!$B$13+7)+Inputs!$B$10-Inputs!$B$11)/Inputs!$B$9</f>
        <v>39.1952973069968</v>
      </c>
      <c r="E10" s="41" t="n">
        <f aca="false">(SUMPRODUCT(DCF!$C$18:$J$18,DCF!$C$20:$J$20,1/(1+$B10)^DCF!$C$21:$J$21)+DCF!$J$18*(1+E$4)/($B10-E$4)/(1+$B10)^(Inputs!$B$13+7)+Inputs!$B$10-Inputs!$B$11)/Inputs!$B$9</f>
        <v>40.2084166698704</v>
      </c>
      <c r="F10" s="41" t="n">
        <f aca="false">(SUMPRODUCT(DCF!$C$18:$J$18,DCF!$C$20:$J$20,1/(1+$B10)^DCF!$C$21:$J$21)+DCF!$J$18*(1+F$4)/($B10-F$4)/(1+$B10)^(Inputs!$B$13+7)+Inputs!$B$10-Inputs!$B$11)/Inputs!$B$9</f>
        <v>41.3228479690314</v>
      </c>
      <c r="G10" s="41" t="n">
        <f aca="false">(SUMPRODUCT(DCF!$C$18:$J$18,DCF!$C$20:$J$20,1/(1+$B10)^DCF!$C$21:$J$21)+DCF!$J$18*(1+G$4)/($B10-G$4)/(1+$B10)^(Inputs!$B$13+7)+Inputs!$B$10-Inputs!$B$11)/Inputs!$B$9</f>
        <v>42.5545878259988</v>
      </c>
    </row>
    <row r="12" customFormat="false" ht="15" hidden="false" customHeight="false" outlineLevel="0" collapsed="false">
      <c r="A12" s="10" t="s">
        <v>155</v>
      </c>
      <c r="B12" s="6" t="n">
        <f aca="false">Inputs!$B$6</f>
        <v>98.87</v>
      </c>
    </row>
    <row r="13" customFormat="false" ht="15" hidden="false" customHeight="false" outlineLevel="0" collapsed="false">
      <c r="A13" s="2" t="s">
        <v>176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70"/>
    <col collapsed="false" customWidth="true" hidden="false" outlineLevel="0" max="3" min="3" style="0" width="95"/>
  </cols>
  <sheetData>
    <row r="1" customFormat="false" ht="19.7" hidden="false" customHeight="false" outlineLevel="0" collapsed="false">
      <c r="A1" s="1" t="s">
        <v>177</v>
      </c>
    </row>
    <row r="3" customFormat="false" ht="15" hidden="false" customHeight="false" outlineLevel="0" collapsed="false">
      <c r="A3" s="3" t="s">
        <v>178</v>
      </c>
      <c r="B3" s="4" t="s">
        <v>179</v>
      </c>
      <c r="C3" s="4" t="s">
        <v>180</v>
      </c>
    </row>
    <row r="4" customFormat="false" ht="15" hidden="false" customHeight="false" outlineLevel="0" collapsed="false">
      <c r="A4" s="5" t="n">
        <v>1</v>
      </c>
      <c r="B4" s="5" t="s">
        <v>181</v>
      </c>
      <c r="C4" s="2" t="s">
        <v>182</v>
      </c>
    </row>
    <row r="5" customFormat="false" ht="15" hidden="false" customHeight="false" outlineLevel="0" collapsed="false">
      <c r="A5" s="5" t="n">
        <v>2</v>
      </c>
      <c r="B5" s="5" t="s">
        <v>183</v>
      </c>
      <c r="C5" s="2" t="s">
        <v>184</v>
      </c>
    </row>
    <row r="6" customFormat="false" ht="15" hidden="false" customHeight="false" outlineLevel="0" collapsed="false">
      <c r="A6" s="5" t="n">
        <v>3</v>
      </c>
      <c r="B6" s="5" t="s">
        <v>185</v>
      </c>
      <c r="C6" s="2" t="s">
        <v>186</v>
      </c>
    </row>
    <row r="7" customFormat="false" ht="15" hidden="false" customHeight="false" outlineLevel="0" collapsed="false">
      <c r="A7" s="5" t="n">
        <v>4</v>
      </c>
      <c r="B7" s="5" t="s">
        <v>187</v>
      </c>
      <c r="C7" s="2" t="s">
        <v>188</v>
      </c>
    </row>
    <row r="8" customFormat="false" ht="15" hidden="false" customHeight="false" outlineLevel="0" collapsed="false">
      <c r="A8" s="5" t="n">
        <v>5</v>
      </c>
      <c r="B8" s="5" t="s">
        <v>189</v>
      </c>
      <c r="C8" s="2" t="s">
        <v>190</v>
      </c>
    </row>
    <row r="9" customFormat="false" ht="15" hidden="false" customHeight="false" outlineLevel="0" collapsed="false">
      <c r="A9" s="5" t="n">
        <v>6</v>
      </c>
      <c r="B9" s="5" t="s">
        <v>191</v>
      </c>
      <c r="C9" s="2" t="s">
        <v>192</v>
      </c>
    </row>
    <row r="10" customFormat="false" ht="15" hidden="false" customHeight="false" outlineLevel="0" collapsed="false">
      <c r="A10" s="5" t="n">
        <v>7</v>
      </c>
      <c r="B10" s="5" t="s">
        <v>193</v>
      </c>
      <c r="C10" s="2" t="s">
        <v>194</v>
      </c>
    </row>
    <row r="11" customFormat="false" ht="15" hidden="false" customHeight="false" outlineLevel="0" collapsed="false">
      <c r="A11" s="5" t="n">
        <v>8</v>
      </c>
      <c r="B11" s="5" t="s">
        <v>195</v>
      </c>
      <c r="C11" s="2" t="s">
        <v>196</v>
      </c>
    </row>
    <row r="13" customFormat="false" ht="15" hidden="false" customHeight="false" outlineLevel="0" collapsed="false">
      <c r="B13" s="2" t="s">
        <v>197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2026-10-17T05:27:27Z</dcterms:created>
  <dc:creator>openpyxl</dc:creator>
  <dc:description/>
  <dc:language>en-US</dc:language>
  <cp:lastModifiedBy/>
  <dcterms:modified xsi:type="dcterms:W3CDTF">2026-10-17T05:27:27Z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